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matil\Desktop\MAQUETTE 30 MARS\"/>
    </mc:Choice>
  </mc:AlternateContent>
  <xr:revisionPtr revIDLastSave="0" documentId="13_ncr:1_{B8A54999-D189-412C-AEFF-7FE31E3A3B09}" xr6:coauthVersionLast="47" xr6:coauthVersionMax="47" xr10:uidLastSave="{00000000-0000-0000-0000-000000000000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-110" yWindow="-110" windowWidth="19420" windowHeight="10420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70" i="39" l="1"/>
  <c r="AC53" i="39"/>
  <c r="AC54" i="39"/>
  <c r="AC55" i="39"/>
  <c r="AC56" i="39"/>
  <c r="AC57" i="39"/>
  <c r="AC58" i="39"/>
  <c r="AC59" i="39"/>
  <c r="AC60" i="39"/>
  <c r="AC61" i="39"/>
  <c r="AC62" i="39"/>
  <c r="AC63" i="39"/>
  <c r="AC64" i="39"/>
  <c r="AC65" i="39"/>
  <c r="AC66" i="39"/>
  <c r="AC67" i="39"/>
  <c r="AC68" i="39"/>
  <c r="AC69" i="39"/>
  <c r="AC71" i="39"/>
  <c r="AC72" i="39"/>
  <c r="AC73" i="39"/>
  <c r="AC74" i="39"/>
  <c r="AC75" i="39"/>
  <c r="AC76" i="39"/>
  <c r="AC77" i="39"/>
  <c r="AC78" i="39"/>
  <c r="AC79" i="39"/>
  <c r="AC80" i="39"/>
  <c r="AC81" i="39"/>
  <c r="AC82" i="39"/>
  <c r="AC83" i="39"/>
  <c r="AC84" i="39"/>
  <c r="AC85" i="39"/>
  <c r="AC86" i="39"/>
  <c r="AC87" i="39"/>
  <c r="AC88" i="39"/>
  <c r="AC29" i="39"/>
  <c r="AC30" i="39"/>
  <c r="AC31" i="39"/>
  <c r="AC32" i="39"/>
  <c r="AC33" i="39"/>
  <c r="AC34" i="39"/>
  <c r="AC35" i="39"/>
  <c r="AC36" i="39"/>
  <c r="AC37" i="39"/>
  <c r="AC38" i="39"/>
  <c r="AC39" i="39"/>
  <c r="AC40" i="39"/>
  <c r="AC41" i="39"/>
  <c r="AC42" i="39"/>
  <c r="AC43" i="39"/>
  <c r="AC44" i="39"/>
  <c r="AC45" i="39"/>
  <c r="AC46" i="39"/>
  <c r="AC47" i="39"/>
  <c r="R22" i="41" l="1"/>
  <c r="R25" i="41"/>
  <c r="R26" i="41"/>
  <c r="R24" i="41"/>
  <c r="R23" i="41"/>
  <c r="S16" i="41"/>
  <c r="G19" i="41" l="1"/>
  <c r="G17" i="41"/>
  <c r="G16" i="41"/>
  <c r="Q56" i="39" l="1"/>
  <c r="Q57" i="39"/>
  <c r="Q62" i="39"/>
  <c r="Q63" i="39"/>
  <c r="Q64" i="39"/>
  <c r="Q65" i="39"/>
  <c r="Q66" i="39"/>
  <c r="Q67" i="39"/>
  <c r="Q68" i="39"/>
  <c r="Q69" i="39"/>
  <c r="Q71" i="39"/>
  <c r="Q72" i="39"/>
  <c r="Q73" i="39"/>
  <c r="Q74" i="39"/>
  <c r="Q76" i="39"/>
  <c r="Q78" i="39"/>
  <c r="Q79" i="39"/>
  <c r="Q80" i="39"/>
  <c r="Q81" i="39"/>
  <c r="Q82" i="39"/>
  <c r="Q83" i="39"/>
  <c r="Q84" i="39"/>
  <c r="Q85" i="39"/>
  <c r="Q86" i="39"/>
  <c r="Q87" i="39"/>
  <c r="Q88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X48" i="39"/>
  <c r="X7" i="39" l="1"/>
  <c r="P88" i="39" l="1"/>
  <c r="P87" i="39"/>
  <c r="P86" i="39"/>
  <c r="P85" i="39"/>
  <c r="P84" i="39"/>
  <c r="P83" i="39"/>
  <c r="P82" i="39"/>
  <c r="P81" i="39"/>
  <c r="P80" i="39"/>
  <c r="P79" i="39"/>
  <c r="P78" i="39"/>
  <c r="P77" i="39"/>
  <c r="Q77" i="39" s="1"/>
  <c r="S77" i="39" s="1"/>
  <c r="P76" i="39"/>
  <c r="P75" i="39"/>
  <c r="Q75" i="39" s="1"/>
  <c r="S75" i="39" s="1"/>
  <c r="P74" i="39"/>
  <c r="P73" i="39"/>
  <c r="P72" i="39"/>
  <c r="P71" i="39"/>
  <c r="P70" i="39"/>
  <c r="Q70" i="39" s="1"/>
  <c r="S70" i="39" s="1"/>
  <c r="P69" i="39"/>
  <c r="P68" i="39"/>
  <c r="P67" i="39"/>
  <c r="P66" i="39"/>
  <c r="P65" i="39"/>
  <c r="P64" i="39"/>
  <c r="P63" i="39"/>
  <c r="P62" i="39"/>
  <c r="P61" i="39"/>
  <c r="Q61" i="39" s="1"/>
  <c r="S61" i="39" s="1"/>
  <c r="P60" i="39"/>
  <c r="Q60" i="39" s="1"/>
  <c r="S60" i="39" s="1"/>
  <c r="P59" i="39"/>
  <c r="Q59" i="39" s="1"/>
  <c r="S59" i="39" s="1"/>
  <c r="P58" i="39"/>
  <c r="Q58" i="39" s="1"/>
  <c r="P57" i="39"/>
  <c r="P56" i="39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Q30" i="39" s="1"/>
  <c r="S30" i="39" s="1"/>
  <c r="P29" i="39"/>
  <c r="Q29" i="39" s="1"/>
  <c r="S29" i="39" s="1"/>
  <c r="P28" i="39"/>
  <c r="Q28" i="39" s="1"/>
  <c r="S28" i="39" s="1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S21" i="39" s="1"/>
  <c r="P22" i="39"/>
  <c r="P23" i="39"/>
  <c r="Q23" i="39" s="1"/>
  <c r="P24" i="39"/>
  <c r="Q24" i="39" s="1"/>
  <c r="S24" i="39" s="1"/>
  <c r="P25" i="39"/>
  <c r="Q25" i="39" s="1"/>
  <c r="S25" i="39" s="1"/>
  <c r="P26" i="39"/>
  <c r="Q26" i="39" s="1"/>
  <c r="S26" i="39" s="1"/>
  <c r="P27" i="39"/>
  <c r="Q27" i="39" s="1"/>
  <c r="S27" i="39" s="1"/>
  <c r="P8" i="39"/>
  <c r="Q8" i="39" s="1"/>
  <c r="T8" i="39" s="1"/>
  <c r="S56" i="39"/>
  <c r="S88" i="39"/>
  <c r="S87" i="39"/>
  <c r="S86" i="39"/>
  <c r="S85" i="39"/>
  <c r="S84" i="39"/>
  <c r="S83" i="39"/>
  <c r="S82" i="39"/>
  <c r="S81" i="39"/>
  <c r="S80" i="39"/>
  <c r="S79" i="39"/>
  <c r="S78" i="39"/>
  <c r="S76" i="39"/>
  <c r="S74" i="39"/>
  <c r="S73" i="39"/>
  <c r="S72" i="39"/>
  <c r="S71" i="39"/>
  <c r="S69" i="39"/>
  <c r="S68" i="39"/>
  <c r="S67" i="39"/>
  <c r="S66" i="39"/>
  <c r="S65" i="39"/>
  <c r="S64" i="39"/>
  <c r="S63" i="39"/>
  <c r="S62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Q50" i="39" l="1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G18" i="41" l="1"/>
  <c r="R18" i="41" s="1"/>
  <c r="S18" i="41" s="1"/>
  <c r="R15" i="41"/>
  <c r="Q89" i="39"/>
  <c r="S54" i="39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O55" i="42"/>
  <c r="N55" i="42"/>
  <c r="M55" i="42"/>
  <c r="L55" i="42"/>
  <c r="P54" i="42"/>
  <c r="P53" i="42"/>
  <c r="P52" i="42"/>
  <c r="P51" i="42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O20" i="42"/>
  <c r="N20" i="42"/>
  <c r="M20" i="42"/>
  <c r="M14" i="42" s="1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P27" i="42" l="1"/>
  <c r="N14" i="42"/>
  <c r="P50" i="42"/>
  <c r="P59" i="42" s="1"/>
  <c r="P55" i="42"/>
  <c r="O14" i="42"/>
  <c r="L46" i="42"/>
  <c r="L62" i="42" s="1"/>
  <c r="L75" i="42" s="1"/>
  <c r="M46" i="42"/>
  <c r="M62" i="42" s="1"/>
  <c r="M75" i="42" s="1"/>
  <c r="O46" i="42"/>
  <c r="O62" i="42" s="1"/>
  <c r="O75" i="42" s="1"/>
  <c r="Q90" i="39"/>
  <c r="G32" i="42"/>
  <c r="I29" i="42"/>
  <c r="R29" i="42" s="1"/>
  <c r="P32" i="42"/>
  <c r="N46" i="42"/>
  <c r="N62" i="42" s="1"/>
  <c r="N75" i="42" s="1"/>
  <c r="P35" i="42"/>
  <c r="P72" i="42"/>
  <c r="P20" i="42"/>
  <c r="L14" i="42"/>
  <c r="I35" i="42"/>
  <c r="I45" i="42" s="1"/>
  <c r="P14" i="42"/>
  <c r="P46" i="42"/>
  <c r="P62" i="42" l="1"/>
  <c r="S29" i="42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H18" i="40"/>
  <c r="G18" i="40"/>
  <c r="S58" i="39" l="1"/>
  <c r="G28" i="40"/>
  <c r="H28" i="40" s="1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R48" i="39" l="1"/>
  <c r="S23" i="39"/>
  <c r="R89" i="39"/>
  <c r="S57" i="39"/>
  <c r="K29" i="4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Q19" i="41" s="1"/>
  <c r="J28" i="40"/>
  <c r="K69" i="42" s="1"/>
  <c r="K72" i="42" s="1"/>
  <c r="K73" i="42" s="1"/>
  <c r="K18" i="40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Q19" i="42" s="1"/>
  <c r="V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P62" i="41" l="1"/>
  <c r="P75" i="41" s="1"/>
  <c r="R90" i="39"/>
  <c r="S89" i="39"/>
  <c r="J36" i="41"/>
  <c r="J36" i="42" s="1"/>
  <c r="S48" i="39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S90" i="39" l="1"/>
  <c r="K35" i="42"/>
  <c r="K45" i="42" s="1"/>
  <c r="K72" i="41"/>
  <c r="Q35" i="41" s="1"/>
  <c r="J51" i="41"/>
  <c r="J51" i="42" s="1"/>
  <c r="J35" i="42"/>
  <c r="J45" i="42" s="1"/>
  <c r="J35" i="41"/>
  <c r="J45" i="41" s="1"/>
  <c r="K73" i="41"/>
  <c r="Q35" i="42" l="1"/>
  <c r="AD84" i="39"/>
  <c r="T84" i="39"/>
  <c r="AD83" i="39"/>
  <c r="T83" i="39"/>
  <c r="AD82" i="39"/>
  <c r="T82" i="39"/>
  <c r="AD81" i="39"/>
  <c r="T81" i="39"/>
  <c r="AD80" i="39"/>
  <c r="T80" i="39"/>
  <c r="AD79" i="39"/>
  <c r="T79" i="39"/>
  <c r="AD78" i="39"/>
  <c r="T78" i="39"/>
  <c r="AD77" i="39"/>
  <c r="T77" i="39"/>
  <c r="AD76" i="39"/>
  <c r="T76" i="39"/>
  <c r="AD75" i="39"/>
  <c r="T75" i="39"/>
  <c r="AD74" i="39"/>
  <c r="T74" i="39"/>
  <c r="AD73" i="39"/>
  <c r="T73" i="39"/>
  <c r="AD72" i="39"/>
  <c r="T72" i="39"/>
  <c r="T51" i="39"/>
  <c r="AD51" i="39"/>
  <c r="AC51" i="39" s="1"/>
  <c r="T52" i="39"/>
  <c r="Y52" i="39" s="1"/>
  <c r="AD52" i="39"/>
  <c r="AC52" i="39" s="1"/>
  <c r="T53" i="39"/>
  <c r="Y53" i="39" s="1"/>
  <c r="AD53" i="39"/>
  <c r="T54" i="39"/>
  <c r="Y54" i="39" s="1"/>
  <c r="AD54" i="39"/>
  <c r="T55" i="39"/>
  <c r="Y55" i="39" s="1"/>
  <c r="AD55" i="39"/>
  <c r="T56" i="39"/>
  <c r="AD56" i="39"/>
  <c r="T57" i="39"/>
  <c r="Y57" i="39" s="1"/>
  <c r="AD57" i="39"/>
  <c r="T58" i="39"/>
  <c r="Y58" i="39" s="1"/>
  <c r="AD58" i="39"/>
  <c r="T59" i="39"/>
  <c r="Y59" i="39" s="1"/>
  <c r="AD59" i="39"/>
  <c r="T60" i="39"/>
  <c r="AD60" i="39"/>
  <c r="T61" i="39"/>
  <c r="AD61" i="39"/>
  <c r="T62" i="39"/>
  <c r="AD62" i="39"/>
  <c r="AD34" i="39"/>
  <c r="T34" i="39"/>
  <c r="AD33" i="39"/>
  <c r="T33" i="39"/>
  <c r="AD37" i="39"/>
  <c r="T37" i="39"/>
  <c r="AD36" i="39"/>
  <c r="T36" i="39"/>
  <c r="AD35" i="39"/>
  <c r="T35" i="39"/>
  <c r="AD32" i="39"/>
  <c r="T32" i="39"/>
  <c r="AD31" i="39"/>
  <c r="T31" i="39"/>
  <c r="T14" i="39"/>
  <c r="AD14" i="39"/>
  <c r="AC14" i="39" s="1"/>
  <c r="T15" i="39"/>
  <c r="AD15" i="39"/>
  <c r="AC15" i="39" s="1"/>
  <c r="T16" i="39"/>
  <c r="AD16" i="39"/>
  <c r="AC16" i="39" s="1"/>
  <c r="AD30" i="39"/>
  <c r="AD38" i="39"/>
  <c r="AD39" i="39"/>
  <c r="AD40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T22" i="39"/>
  <c r="T21" i="39"/>
  <c r="T20" i="39"/>
  <c r="T19" i="39"/>
  <c r="T18" i="39"/>
  <c r="T17" i="39"/>
  <c r="T13" i="39"/>
  <c r="T12" i="39"/>
  <c r="Y23" i="39" l="1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Y22" i="39"/>
  <c r="G17" i="42" l="1"/>
  <c r="I17" i="42" s="1"/>
  <c r="V48" i="39"/>
  <c r="V7" i="39" s="1"/>
  <c r="W48" i="39"/>
  <c r="Y18" i="39"/>
  <c r="H23" i="41"/>
  <c r="G23" i="42"/>
  <c r="H23" i="42" s="1"/>
  <c r="I23" i="42" s="1"/>
  <c r="K23" i="42" s="1"/>
  <c r="J23" i="42" s="1"/>
  <c r="Q23" i="42" s="1"/>
  <c r="V23" i="42" s="1"/>
  <c r="I23" i="41" l="1"/>
  <c r="S23" i="41"/>
  <c r="I17" i="41"/>
  <c r="U17" i="42"/>
  <c r="R17" i="42"/>
  <c r="S17" i="42"/>
  <c r="T17" i="42"/>
  <c r="K17" i="42"/>
  <c r="J17" i="42" s="1"/>
  <c r="Q17" i="42" s="1"/>
  <c r="V17" i="42" s="1"/>
  <c r="T23" i="42"/>
  <c r="U23" i="42"/>
  <c r="S23" i="42"/>
  <c r="R23" i="42"/>
  <c r="K17" i="41" l="1"/>
  <c r="J17" i="41" s="1"/>
  <c r="Q17" i="41"/>
  <c r="K23" i="41"/>
  <c r="J23" i="41" s="1"/>
  <c r="Q23" i="41" s="1"/>
  <c r="AD71" i="39"/>
  <c r="AD85" i="39"/>
  <c r="AD86" i="39"/>
  <c r="T88" i="39" l="1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D88" i="39"/>
  <c r="AD87" i="39"/>
  <c r="AD70" i="39"/>
  <c r="AD69" i="39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AC27" i="39" s="1"/>
  <c r="T27" i="39"/>
  <c r="AD26" i="39"/>
  <c r="AC26" i="39" s="1"/>
  <c r="T26" i="39"/>
  <c r="AD25" i="39"/>
  <c r="AC25" i="39" s="1"/>
  <c r="T25" i="39"/>
  <c r="AD24" i="39"/>
  <c r="AC24" i="39" s="1"/>
  <c r="T24" i="39"/>
  <c r="AD11" i="39"/>
  <c r="AC11" i="39" s="1"/>
  <c r="T11" i="39"/>
  <c r="AD10" i="39"/>
  <c r="AC10" i="39" s="1"/>
  <c r="L4" i="39" l="1"/>
  <c r="L3" i="39"/>
  <c r="K3" i="39"/>
  <c r="Y11" i="39"/>
  <c r="T71" i="39"/>
  <c r="T70" i="39"/>
  <c r="T69" i="39"/>
  <c r="AD49" i="39"/>
  <c r="AC49" i="39" s="1"/>
  <c r="J3" i="39" s="1"/>
  <c r="T29" i="39" l="1"/>
  <c r="T63" i="39"/>
  <c r="AD29" i="39"/>
  <c r="AD28" i="39"/>
  <c r="AC28" i="39" s="1"/>
  <c r="AD50" i="39"/>
  <c r="AD8" i="39"/>
  <c r="AC8" i="39" s="1"/>
  <c r="AD9" i="39"/>
  <c r="AC9" i="39" s="1"/>
  <c r="AD89" i="39" l="1"/>
  <c r="AC50" i="39"/>
  <c r="J4" i="39" s="1"/>
  <c r="I4" i="39"/>
  <c r="I3" i="39"/>
  <c r="AD48" i="39"/>
  <c r="Q7" i="39"/>
  <c r="T28" i="39"/>
  <c r="K4" i="39" l="1"/>
  <c r="H4" i="39" s="1"/>
  <c r="AC89" i="39"/>
  <c r="H89" i="39" s="1"/>
  <c r="H3" i="39"/>
  <c r="AC48" i="39"/>
  <c r="H48" i="39" s="1"/>
  <c r="S7" i="39"/>
  <c r="T50" i="39"/>
  <c r="Y50" i="39" s="1"/>
  <c r="T9" i="39"/>
  <c r="T49" i="39"/>
  <c r="G25" i="41" l="1"/>
  <c r="H25" i="41" s="1"/>
  <c r="G22" i="41"/>
  <c r="H90" i="39"/>
  <c r="W89" i="39"/>
  <c r="W7" i="39" s="1"/>
  <c r="Y49" i="39"/>
  <c r="G24" i="41" s="1"/>
  <c r="T48" i="39"/>
  <c r="Y9" i="39"/>
  <c r="Y48" i="39" s="1"/>
  <c r="T89" i="39"/>
  <c r="G25" i="42" l="1"/>
  <c r="H25" i="42" s="1"/>
  <c r="I25" i="42" s="1"/>
  <c r="T25" i="42" s="1"/>
  <c r="H22" i="41"/>
  <c r="G22" i="42"/>
  <c r="H22" i="42" s="1"/>
  <c r="I22" i="42" s="1"/>
  <c r="H24" i="41"/>
  <c r="G24" i="42"/>
  <c r="I25" i="41"/>
  <c r="K25" i="41" s="1"/>
  <c r="J25" i="41" s="1"/>
  <c r="Q25" i="41" s="1"/>
  <c r="S25" i="41"/>
  <c r="Y89" i="39"/>
  <c r="Y7" i="39" s="1"/>
  <c r="G26" i="41"/>
  <c r="I18" i="41"/>
  <c r="G18" i="42"/>
  <c r="I18" i="42" s="1"/>
  <c r="T90" i="39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K25" i="42" l="1"/>
  <c r="J25" i="42" s="1"/>
  <c r="Q25" i="42" s="1"/>
  <c r="V25" i="42" s="1"/>
  <c r="S25" i="42"/>
  <c r="U25" i="42"/>
  <c r="R25" i="42"/>
  <c r="K22" i="42"/>
  <c r="J22" i="42" s="1"/>
  <c r="R22" i="42"/>
  <c r="Q22" i="42"/>
  <c r="V22" i="42" s="1"/>
  <c r="T22" i="42"/>
  <c r="U22" i="42"/>
  <c r="S22" i="42"/>
  <c r="S22" i="41"/>
  <c r="I22" i="41"/>
  <c r="H24" i="42"/>
  <c r="I24" i="42" s="1"/>
  <c r="S24" i="41"/>
  <c r="I24" i="41"/>
  <c r="J24" i="41" s="1"/>
  <c r="Q24" i="41" s="1"/>
  <c r="K18" i="41"/>
  <c r="J18" i="41" s="1"/>
  <c r="Q18" i="41" s="1"/>
  <c r="G27" i="41"/>
  <c r="H26" i="41"/>
  <c r="G26" i="42"/>
  <c r="U18" i="42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K22" i="41" l="1"/>
  <c r="J22" i="41" s="1"/>
  <c r="J24" i="42"/>
  <c r="Q24" i="42"/>
  <c r="V24" i="42" s="1"/>
  <c r="T24" i="42"/>
  <c r="R24" i="42"/>
  <c r="U24" i="42"/>
  <c r="S24" i="42"/>
  <c r="I26" i="41"/>
  <c r="I27" i="41" s="1"/>
  <c r="H27" i="41" s="1"/>
  <c r="S26" i="41"/>
  <c r="H26" i="42"/>
  <c r="I26" i="42" s="1"/>
  <c r="G27" i="42"/>
  <c r="I16" i="42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K26" i="41" l="1"/>
  <c r="K27" i="41" s="1"/>
  <c r="Q27" i="41" s="1"/>
  <c r="K26" i="42"/>
  <c r="K27" i="42" s="1"/>
  <c r="Q27" i="42" s="1"/>
  <c r="S26" i="42"/>
  <c r="U26" i="42"/>
  <c r="T26" i="42"/>
  <c r="R26" i="42"/>
  <c r="I27" i="42"/>
  <c r="H27" i="42" s="1"/>
  <c r="J16" i="4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J26" i="41" l="1"/>
  <c r="J27" i="41" s="1"/>
  <c r="J20" i="41"/>
  <c r="Q16" i="41"/>
  <c r="J26" i="42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Q26" i="41" l="1"/>
  <c r="Q26" i="42"/>
  <c r="V26" i="42" s="1"/>
  <c r="J27" i="42"/>
  <c r="K60" i="42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I47" i="42"/>
  <c r="I62" i="42"/>
  <c r="I64" i="41"/>
  <c r="I75" i="41"/>
  <c r="I63" i="41"/>
  <c r="I33" i="42"/>
  <c r="K47" i="41"/>
  <c r="Q46" i="41"/>
  <c r="K62" i="41"/>
  <c r="S59" i="41"/>
  <c r="K47" i="42" l="1"/>
  <c r="Q46" i="42"/>
  <c r="K62" i="42"/>
  <c r="K64" i="42" s="1"/>
  <c r="J47" i="42"/>
  <c r="J63" i="41"/>
  <c r="J75" i="41"/>
  <c r="E9" i="40" s="1"/>
  <c r="Q62" i="41"/>
  <c r="J9" i="40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Aude Petignier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  <comment ref="H49" authorId="1" shapeId="0" xr:uid="{00000000-0006-0000-0000-000003000000}">
      <text>
        <r>
          <rPr>
            <b/>
            <sz val="9"/>
            <color indexed="81"/>
            <rFont val="Tahoma"/>
            <charset val="1"/>
          </rPr>
          <t>Aude Petignier:</t>
        </r>
        <r>
          <rPr>
            <sz val="9"/>
            <color indexed="81"/>
            <rFont val="Tahoma"/>
            <charset val="1"/>
          </rPr>
          <t xml:space="preserve">
6 mois</t>
        </r>
      </text>
    </comment>
    <comment ref="R50" authorId="1" shapeId="0" xr:uid="{00000000-0006-0000-0000-000004000000}">
      <text>
        <r>
          <rPr>
            <b/>
            <sz val="9"/>
            <color indexed="81"/>
            <rFont val="Tahoma"/>
            <charset val="1"/>
          </rPr>
          <t>Aude Petignier:</t>
        </r>
        <r>
          <rPr>
            <sz val="9"/>
            <color indexed="81"/>
            <rFont val="Tahoma"/>
            <charset val="1"/>
          </rPr>
          <t xml:space="preserve">
3h / etudiant financées par recette alternance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tc={B68EF791-3B2B-48B3-950A-1066FED3A884}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E16" authorId="1" shapeId="0" xr:uid="{00000000-0006-0000-0100-000003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remplacé par le bon tarif</t>
      </text>
    </comment>
    <comment ref="B2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<sst xmlns="http://schemas.openxmlformats.org/spreadsheetml/2006/main" count="565" uniqueCount="304">
  <si>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</si>
  <si>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</si>
  <si>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</si>
  <si>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</si>
  <si>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</si>
  <si>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</si>
  <si>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</si>
  <si>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</si>
  <si>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</si>
  <si>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</si>
  <si>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</si>
  <si>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</si>
  <si>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</si>
  <si>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</si>
  <si>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</si>
  <si>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</si>
  <si>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</si>
  <si>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</si>
  <si>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</si>
  <si>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</si>
  <si>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</si>
  <si>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</si>
  <si>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</si>
  <si>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</si>
  <si>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</si>
  <si>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</si>
  <si>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</si>
  <si>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</si>
  <si>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</si>
  <si>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</si>
  <si>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</si>
  <si>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 et 2</t>
  </si>
  <si>
    <t>EP.21A</t>
  </si>
  <si>
    <t>Export, douane, logistique</t>
  </si>
  <si>
    <t>MIXTE</t>
  </si>
  <si>
    <t>Obligatoire</t>
  </si>
  <si>
    <t>TD</t>
  </si>
  <si>
    <t>Non</t>
  </si>
  <si>
    <t>EP2.1B</t>
  </si>
  <si>
    <t>Sales and customer relationship management</t>
  </si>
  <si>
    <t>EP2.2A</t>
  </si>
  <si>
    <t>International marketing strategy</t>
  </si>
  <si>
    <t>EP2.2C</t>
  </si>
  <si>
    <t>Marketing responsable</t>
  </si>
  <si>
    <t>EP2.2D</t>
  </si>
  <si>
    <t>EP2.3A</t>
  </si>
  <si>
    <t>Digital transformation</t>
  </si>
  <si>
    <t>EP2.3B</t>
  </si>
  <si>
    <t>Web marketing, ecommerce and data mining</t>
  </si>
  <si>
    <t>EP2.3C</t>
  </si>
  <si>
    <t>Communication digitale</t>
  </si>
  <si>
    <t>EP2.4A</t>
  </si>
  <si>
    <t>EP2.4B</t>
  </si>
  <si>
    <t>Business games marketplace simulations</t>
  </si>
  <si>
    <t>heures faites par Elsa Weil IGE BIATSS</t>
  </si>
  <si>
    <t>EP2.4C</t>
  </si>
  <si>
    <t>Etude de cas - anglais</t>
  </si>
  <si>
    <t>EP2.4D</t>
  </si>
  <si>
    <t>Etude de cas -  allemand</t>
  </si>
  <si>
    <t>Option</t>
  </si>
  <si>
    <t>Etude de cas - arabe</t>
  </si>
  <si>
    <t>Etude de cas - chinois</t>
  </si>
  <si>
    <t>Etude de cas - espagnol</t>
  </si>
  <si>
    <t>Etude de cas - italien</t>
  </si>
  <si>
    <t>Etude de cas - portugais</t>
  </si>
  <si>
    <t>PROJSUIV</t>
  </si>
  <si>
    <t>EP2.5A</t>
  </si>
  <si>
    <t>Insertion professionnelle - Journée d'études</t>
  </si>
  <si>
    <t>ALT</t>
  </si>
  <si>
    <t>JESUIV</t>
  </si>
  <si>
    <t>EP2.5B</t>
  </si>
  <si>
    <t>FI/FC</t>
  </si>
  <si>
    <t>EP2.5C</t>
  </si>
  <si>
    <t>ALTSUIV</t>
  </si>
  <si>
    <t>EP2.1A</t>
  </si>
  <si>
    <t>Stage obligatoire de 6 mois - Mémoire - Soutenance</t>
  </si>
  <si>
    <t>STSUIV</t>
  </si>
  <si>
    <t>heures faites par Elsa Weil IGE BIATSS pour 4 h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</si>
  <si>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</si>
  <si>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</si>
  <si>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</si>
  <si>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</si>
  <si>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</si>
  <si>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</si>
  <si>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Nom de la formation</t>
  </si>
  <si>
    <t xml:space="preserve">Mention LEA_
Parcours : Master CILA - Marketing &amp; Digital Business, Commerce International et Langues Appliquées </t>
  </si>
  <si>
    <t xml:space="preserve">Nombre d'inscrits total
</t>
  </si>
  <si>
    <t>Composante</t>
  </si>
  <si>
    <t>LANG - Langues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</si>
  <si>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</si>
  <si>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</si>
  <si>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</si>
  <si>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</si>
  <si>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</si>
  <si>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</si>
  <si>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</si>
  <si>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</si>
  <si>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</si>
  <si>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</si>
  <si>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</si>
  <si>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</si>
  <si>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</si>
  <si>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</si>
  <si>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</si>
  <si>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</si>
  <si>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</si>
  <si>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</si>
  <si>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</si>
  <si>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</si>
  <si>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</si>
  <si>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</si>
  <si>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</si>
  <si>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</si>
  <si>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</si>
  <si>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</si>
  <si>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</si>
  <si>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</si>
  <si>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</si>
  <si>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</si>
  <si>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</si>
  <si>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</si>
  <si>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</si>
  <si>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</si>
  <si>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</si>
  <si>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</si>
  <si>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</si>
  <si>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</si>
  <si>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</si>
  <si>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</si>
  <si>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</si>
  <si>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</si>
  <si>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</si>
  <si>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</si>
  <si>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</si>
  <si>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</si>
  <si>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</si>
  <si>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</si>
  <si>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</si>
  <si>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</si>
  <si>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</si>
  <si>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</si>
  <si>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</si>
  <si>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</si>
  <si>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</si>
  <si>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</si>
  <si>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</si>
  <si>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</si>
  <si>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</si>
  <si>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</si>
  <si>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</si>
  <si>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</si>
  <si>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</si>
  <si>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</si>
  <si>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</si>
  <si>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</si>
  <si>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</si>
  <si>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</si>
  <si>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</si>
  <si>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</si>
  <si>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</si>
  <si>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</si>
  <si>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</si>
  <si>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</si>
  <si>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</si>
  <si>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</si>
  <si>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</si>
  <si>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</si>
  <si>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</si>
  <si>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</si>
  <si>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</si>
  <si>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</si>
  <si>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</si>
  <si>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</si>
  <si>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</si>
  <si>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</si>
  <si>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</si>
  <si>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</si>
  <si>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</si>
  <si>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</si>
  <si>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</si>
  <si>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</si>
  <si>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</si>
  <si>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</si>
  <si>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</si>
  <si>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</si>
  <si>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</si>
  <si>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</si>
  <si>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</si>
  <si>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</si>
  <si>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</si>
  <si>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</si>
  <si>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</si>
  <si>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</si>
  <si>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</si>
  <si>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</si>
  <si>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</si>
  <si>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</si>
  <si>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</si>
  <si>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</si>
  <si>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</si>
  <si>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</si>
  <si>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</si>
  <si>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</si>
  <si>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</si>
  <si>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</si>
  <si>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</si>
  <si>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</si>
  <si>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</si>
  <si>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</si>
  <si>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</si>
  <si>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</si>
  <si>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</si>
  <si>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</si>
  <si>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</si>
  <si>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</si>
  <si>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</si>
  <si>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</si>
  <si>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</si>
  <si>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</si>
  <si>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</si>
  <si>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</si>
  <si>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</si>
  <si>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</si>
  <si>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</si>
  <si>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</si>
  <si>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</si>
  <si>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</si>
  <si>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</si>
  <si>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</si>
  <si>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</si>
  <si>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</si>
  <si>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</si>
  <si>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</si>
  <si>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</si>
  <si>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</si>
  <si>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</si>
  <si>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</si>
  <si>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</si>
  <si>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</si>
  <si>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</si>
  <si>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</si>
  <si>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</si>
  <si>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</si>
  <si>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</si>
  <si>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CM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</si>
  <si>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</si>
  <si>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</si>
  <si>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</si>
  <si>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</si>
  <si>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</si>
  <si>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</si>
  <si>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</si>
  <si>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</si>
  <si>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</si>
  <si>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</si>
  <si>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</si>
  <si>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</si>
  <si>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</si>
  <si>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</si>
  <si>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</si>
  <si>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</si>
  <si>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</si>
  <si>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</si>
  <si>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ALTTD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</si>
  <si>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</si>
  <si>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</si>
  <si>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</si>
  <si>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</si>
  <si>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</si>
  <si>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</si>
  <si>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</si>
  <si>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</si>
  <si>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</si>
  <si>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</si>
  <si>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</si>
  <si>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</si>
  <si>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</si>
  <si>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</si>
  <si>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</si>
  <si>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</si>
  <si>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</si>
  <si>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</si>
  <si>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</si>
  <si>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</si>
  <si>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</si>
  <si>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</si>
  <si>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</si>
  <si>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</si>
  <si>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</si>
  <si>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</si>
  <si>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Journée d'étude (TD)</t>
  </si>
  <si>
    <t>JETD</t>
  </si>
  <si>
    <t>Journée d'étude (CM)</t>
  </si>
  <si>
    <t>JECM</t>
  </si>
  <si>
    <t>Frais de deplacements/restauration liés aux visites (apprentis)</t>
  </si>
  <si>
    <t>PRAS</t>
  </si>
  <si>
    <t>professeur invité</t>
  </si>
  <si>
    <t>EP2.1c</t>
  </si>
  <si>
    <t>suivi alternance</t>
  </si>
  <si>
    <t>elsa weil</t>
  </si>
  <si>
    <t>Projet tutoré autonomie - Mémoire - Soutenance</t>
  </si>
  <si>
    <t>Projet tutoré / méthodologie 2</t>
  </si>
  <si>
    <t>Projet tutoré / méthodologie 1</t>
  </si>
  <si>
    <t>Services marketing &amp; innovation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</si>
</sst>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_-* #,##0.00\ &quot;BF&quot;_-;\-* #,##0.00\ &quot;BF&quot;_-;_-* &quot;-&quot;??\ &quot;BF&quot;_-;_-@_-"/>
    <numFmt numFmtId="167" formatCode="#,##0\ &quot;F&quot;"/>
    <numFmt numFmtId="168" formatCode="_-* #,##0.00\ _B_F_-;\-* #,##0.00\ _B_F_-;_-* &quot;-&quot;??\ _B_F_-;_-@_-"/>
    <numFmt numFmtId="169" formatCode="#,##0\ &quot;€&quot;"/>
    <numFmt numFmtId="170" formatCode="#,##0_ ;\-#,##0\ "/>
    <numFmt numFmtId="171" formatCode="_-* #,##0\ [$€]_-;\-* #,##0\ [$€]_-;_-* &quot;-&quot;??\ [$€]_-;_-@_-"/>
    <numFmt numFmtId="172" formatCode="_-* #,##0\ [$€-803]_-;\-* #,##0\ [$€-803]_-;_-* &quot;-&quot;??\ [$€-803]_-;_-@_-"/>
    <numFmt numFmtId="173" formatCode="#,##0.00_ ;\-#,##0.00\ "/>
    <numFmt numFmtId="174" formatCode="_-* #,##0\ &quot;€&quot;_-;\-* #,##0\ &quot;€&quot;_-;_-* &quot;-&quot;??\ &quot;€&quot;_-;_-@_-"/>
    <numFmt numFmtId="175" formatCode="#,##0.00\ &quot;€&quot;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33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5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5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5" fontId="14" fillId="7" borderId="10" xfId="10" applyNumberFormat="1" applyFont="1" applyFill="1" applyBorder="1" applyAlignment="1">
      <alignment horizontal="center" vertical="center"/>
    </xf>
    <xf numFmtId="165" fontId="17" fillId="7" borderId="9" xfId="10" applyNumberFormat="1" applyFont="1" applyFill="1" applyBorder="1" applyAlignment="1">
      <alignment horizontal="center" vertical="center"/>
    </xf>
    <xf numFmtId="165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5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5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7" fontId="7" fillId="2" borderId="0" xfId="14" applyNumberFormat="1" applyFont="1" applyFill="1" applyAlignment="1" applyProtection="1">
      <alignment vertical="center"/>
    </xf>
    <xf numFmtId="167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9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9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9" fontId="7" fillId="2" borderId="4" xfId="0" applyNumberFormat="1" applyFont="1" applyFill="1" applyBorder="1" applyAlignment="1">
      <alignment vertical="center"/>
    </xf>
    <xf numFmtId="169" fontId="7" fillId="10" borderId="3" xfId="0" applyNumberFormat="1" applyFont="1" applyFill="1" applyBorder="1" applyAlignment="1">
      <alignment vertical="center"/>
    </xf>
    <xf numFmtId="169" fontId="7" fillId="10" borderId="10" xfId="0" applyNumberFormat="1" applyFont="1" applyFill="1" applyBorder="1" applyAlignment="1">
      <alignment vertical="center"/>
    </xf>
    <xf numFmtId="169" fontId="7" fillId="10" borderId="16" xfId="0" applyNumberFormat="1" applyFont="1" applyFill="1" applyBorder="1" applyAlignment="1">
      <alignment vertical="center"/>
    </xf>
    <xf numFmtId="169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9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9" fontId="8" fillId="2" borderId="36" xfId="0" applyNumberFormat="1" applyFont="1" applyFill="1" applyBorder="1" applyAlignment="1">
      <alignment vertical="center"/>
    </xf>
    <xf numFmtId="169" fontId="8" fillId="2" borderId="9" xfId="0" applyNumberFormat="1" applyFont="1" applyFill="1" applyBorder="1" applyAlignment="1">
      <alignment vertical="center"/>
    </xf>
    <xf numFmtId="169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9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7" fontId="7" fillId="0" borderId="0" xfId="14" applyNumberFormat="1" applyFont="1" applyAlignment="1" applyProtection="1">
      <alignment vertical="center"/>
    </xf>
    <xf numFmtId="167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70" fontId="22" fillId="0" borderId="0" xfId="15" applyNumberFormat="1" applyFont="1" applyFill="1" applyBorder="1" applyAlignment="1" applyProtection="1">
      <alignment horizontal="center" vertical="center"/>
    </xf>
    <xf numFmtId="164" fontId="22" fillId="0" borderId="0" xfId="0" applyNumberFormat="1" applyFont="1" applyAlignment="1">
      <alignment horizontal="right" vertical="center"/>
    </xf>
    <xf numFmtId="171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7" fontId="8" fillId="2" borderId="30" xfId="14" applyNumberFormat="1" applyFont="1" applyFill="1" applyBorder="1" applyAlignment="1" applyProtection="1">
      <alignment horizontal="center" vertical="center" wrapText="1"/>
    </xf>
    <xf numFmtId="167" fontId="8" fillId="2" borderId="12" xfId="14" applyNumberFormat="1" applyFont="1" applyFill="1" applyBorder="1" applyAlignment="1" applyProtection="1">
      <alignment horizontal="center" vertical="center" wrapText="1"/>
    </xf>
    <xf numFmtId="167" fontId="8" fillId="2" borderId="34" xfId="14" applyNumberFormat="1" applyFont="1" applyFill="1" applyBorder="1" applyAlignment="1" applyProtection="1">
      <alignment horizontal="center" vertical="center" wrapText="1"/>
    </xf>
    <xf numFmtId="167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7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7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7" fontId="8" fillId="2" borderId="32" xfId="14" applyNumberFormat="1" applyFont="1" applyFill="1" applyBorder="1" applyAlignment="1" applyProtection="1">
      <alignment horizontal="center" vertical="center" wrapText="1"/>
    </xf>
    <xf numFmtId="167" fontId="8" fillId="2" borderId="24" xfId="14" applyNumberFormat="1" applyFont="1" applyFill="1" applyBorder="1" applyAlignment="1" applyProtection="1">
      <alignment horizontal="center" vertical="center" wrapText="1"/>
    </xf>
    <xf numFmtId="167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2" fontId="8" fillId="5" borderId="12" xfId="0" applyNumberFormat="1" applyFont="1" applyFill="1" applyBorder="1" applyAlignment="1">
      <alignment vertical="center"/>
    </xf>
    <xf numFmtId="172" fontId="8" fillId="5" borderId="18" xfId="0" applyNumberFormat="1" applyFont="1" applyFill="1" applyBorder="1" applyAlignment="1">
      <alignment vertical="center"/>
    </xf>
    <xf numFmtId="172" fontId="8" fillId="5" borderId="17" xfId="0" applyNumberFormat="1" applyFont="1" applyFill="1" applyBorder="1" applyAlignment="1">
      <alignment vertical="center"/>
    </xf>
    <xf numFmtId="172" fontId="8" fillId="5" borderId="32" xfId="0" applyNumberFormat="1" applyFont="1" applyFill="1" applyBorder="1" applyAlignment="1">
      <alignment vertical="center"/>
    </xf>
    <xf numFmtId="172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3" fontId="8" fillId="0" borderId="55" xfId="0" applyNumberFormat="1" applyFont="1" applyBorder="1" applyAlignment="1">
      <alignment horizontal="center" vertical="center" wrapText="1"/>
    </xf>
    <xf numFmtId="174" fontId="8" fillId="0" borderId="55" xfId="16" applyNumberFormat="1" applyFont="1" applyFill="1" applyBorder="1" applyAlignment="1" applyProtection="1">
      <alignment vertical="center" wrapText="1"/>
    </xf>
    <xf numFmtId="174" fontId="8" fillId="0" borderId="61" xfId="16" applyNumberFormat="1" applyFont="1" applyFill="1" applyBorder="1" applyAlignment="1" applyProtection="1">
      <alignment vertical="center" wrapText="1"/>
    </xf>
    <xf numFmtId="174" fontId="8" fillId="0" borderId="54" xfId="16" applyNumberFormat="1" applyFont="1" applyFill="1" applyBorder="1" applyAlignment="1" applyProtection="1">
      <alignment vertical="center" wrapText="1"/>
    </xf>
    <xf numFmtId="171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1" fontId="7" fillId="2" borderId="5" xfId="0" applyNumberFormat="1" applyFont="1" applyFill="1" applyBorder="1" applyAlignment="1">
      <alignment horizontal="center" vertical="center"/>
    </xf>
    <xf numFmtId="171" fontId="7" fillId="0" borderId="5" xfId="0" applyNumberFormat="1" applyFont="1" applyBorder="1" applyAlignment="1">
      <alignment horizontal="center" vertical="center"/>
    </xf>
    <xf numFmtId="171" fontId="7" fillId="0" borderId="37" xfId="0" applyNumberFormat="1" applyFont="1" applyBorder="1" applyAlignment="1">
      <alignment horizontal="center" vertical="center"/>
    </xf>
    <xf numFmtId="171" fontId="7" fillId="8" borderId="4" xfId="15" applyNumberFormat="1" applyFont="1" applyFill="1" applyBorder="1" applyAlignment="1" applyProtection="1">
      <alignment horizontal="center" vertical="center"/>
      <protection locked="0"/>
    </xf>
    <xf numFmtId="171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1" fontId="7" fillId="0" borderId="4" xfId="0" applyNumberFormat="1" applyFont="1" applyBorder="1" applyAlignment="1">
      <alignment horizontal="center" vertical="center"/>
    </xf>
    <xf numFmtId="171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4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vertical="center"/>
    </xf>
    <xf numFmtId="171" fontId="8" fillId="7" borderId="41" xfId="0" applyNumberFormat="1" applyFont="1" applyFill="1" applyBorder="1" applyAlignment="1">
      <alignment horizontal="center" vertical="center"/>
    </xf>
    <xf numFmtId="171" fontId="8" fillId="7" borderId="36" xfId="0" applyNumberFormat="1" applyFont="1" applyFill="1" applyBorder="1" applyAlignment="1">
      <alignment horizontal="center" vertical="center"/>
    </xf>
    <xf numFmtId="171" fontId="8" fillId="7" borderId="39" xfId="0" applyNumberFormat="1" applyFont="1" applyFill="1" applyBorder="1" applyAlignment="1">
      <alignment horizontal="center" vertical="center"/>
    </xf>
    <xf numFmtId="171" fontId="8" fillId="7" borderId="20" xfId="0" applyNumberFormat="1" applyFont="1" applyFill="1" applyBorder="1" applyAlignment="1">
      <alignment horizontal="center" vertical="center"/>
    </xf>
    <xf numFmtId="171" fontId="8" fillId="2" borderId="0" xfId="0" applyNumberFormat="1" applyFont="1" applyFill="1" applyAlignment="1">
      <alignment horizontal="center" vertical="center" wrapText="1"/>
    </xf>
    <xf numFmtId="171" fontId="8" fillId="7" borderId="8" xfId="0" applyNumberFormat="1" applyFont="1" applyFill="1" applyBorder="1" applyAlignment="1">
      <alignment horizontal="center" vertical="center"/>
    </xf>
    <xf numFmtId="171" fontId="8" fillId="7" borderId="23" xfId="0" applyNumberFormat="1" applyFont="1" applyFill="1" applyBorder="1" applyAlignment="1">
      <alignment horizontal="center" vertical="center"/>
    </xf>
    <xf numFmtId="171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3" fontId="8" fillId="0" borderId="24" xfId="0" applyNumberFormat="1" applyFont="1" applyBorder="1" applyAlignment="1">
      <alignment horizontal="center" vertical="center" wrapText="1"/>
    </xf>
    <xf numFmtId="174" fontId="8" fillId="0" borderId="24" xfId="16" applyNumberFormat="1" applyFont="1" applyFill="1" applyBorder="1" applyAlignment="1" applyProtection="1">
      <alignment vertical="center" wrapText="1"/>
    </xf>
    <xf numFmtId="174" fontId="8" fillId="0" borderId="37" xfId="16" applyNumberFormat="1" applyFont="1" applyFill="1" applyBorder="1" applyAlignment="1" applyProtection="1">
      <alignment vertical="center" wrapText="1"/>
    </xf>
    <xf numFmtId="174" fontId="8" fillId="0" borderId="25" xfId="16" applyNumberFormat="1" applyFont="1" applyFill="1" applyBorder="1" applyAlignment="1" applyProtection="1">
      <alignment vertical="center" wrapText="1"/>
    </xf>
    <xf numFmtId="174" fontId="8" fillId="0" borderId="15" xfId="16" applyNumberFormat="1" applyFont="1" applyFill="1" applyBorder="1" applyAlignment="1" applyProtection="1">
      <alignment vertical="center" wrapText="1"/>
    </xf>
    <xf numFmtId="174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4" fontId="7" fillId="0" borderId="4" xfId="0" applyNumberFormat="1" applyFont="1" applyBorder="1" applyAlignment="1">
      <alignment vertical="center"/>
    </xf>
    <xf numFmtId="171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4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4" fontId="8" fillId="7" borderId="21" xfId="0" applyNumberFormat="1" applyFont="1" applyFill="1" applyBorder="1" applyAlignment="1">
      <alignment vertical="center"/>
    </xf>
    <xf numFmtId="174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1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1" fontId="8" fillId="2" borderId="23" xfId="0" applyNumberFormat="1" applyFont="1" applyFill="1" applyBorder="1" applyAlignment="1">
      <alignment horizontal="center" vertical="center"/>
    </xf>
    <xf numFmtId="171" fontId="8" fillId="2" borderId="36" xfId="0" applyNumberFormat="1" applyFont="1" applyFill="1" applyBorder="1" applyAlignment="1">
      <alignment horizontal="center" vertical="center"/>
    </xf>
    <xf numFmtId="171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2" fontId="8" fillId="5" borderId="23" xfId="0" applyNumberFormat="1" applyFont="1" applyFill="1" applyBorder="1" applyAlignment="1">
      <alignment vertical="center"/>
    </xf>
    <xf numFmtId="172" fontId="8" fillId="5" borderId="70" xfId="0" applyNumberFormat="1" applyFont="1" applyFill="1" applyBorder="1" applyAlignment="1">
      <alignment vertical="center"/>
    </xf>
    <xf numFmtId="172" fontId="8" fillId="5" borderId="56" xfId="0" applyNumberFormat="1" applyFont="1" applyFill="1" applyBorder="1" applyAlignment="1">
      <alignment vertical="center"/>
    </xf>
    <xf numFmtId="172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1" fontId="7" fillId="8" borderId="22" xfId="0" applyNumberFormat="1" applyFont="1" applyFill="1" applyBorder="1" applyAlignment="1" applyProtection="1">
      <alignment vertical="center"/>
      <protection locked="0"/>
    </xf>
    <xf numFmtId="171" fontId="7" fillId="2" borderId="22" xfId="0" applyNumberFormat="1" applyFont="1" applyFill="1" applyBorder="1" applyAlignment="1">
      <alignment horizontal="center" vertical="center"/>
    </xf>
    <xf numFmtId="171" fontId="7" fillId="2" borderId="61" xfId="0" applyNumberFormat="1" applyFont="1" applyFill="1" applyBorder="1" applyAlignment="1">
      <alignment horizontal="center" vertical="center"/>
    </xf>
    <xf numFmtId="171" fontId="7" fillId="8" borderId="50" xfId="15" applyNumberFormat="1" applyFont="1" applyFill="1" applyBorder="1" applyAlignment="1" applyProtection="1">
      <alignment horizontal="center" vertical="center"/>
      <protection locked="0"/>
    </xf>
    <xf numFmtId="171" fontId="7" fillId="8" borderId="22" xfId="15" applyNumberFormat="1" applyFont="1" applyFill="1" applyBorder="1" applyAlignment="1" applyProtection="1">
      <alignment horizontal="center" vertical="center"/>
      <protection locked="0"/>
    </xf>
    <xf numFmtId="171" fontId="7" fillId="8" borderId="40" xfId="15" applyNumberFormat="1" applyFont="1" applyFill="1" applyBorder="1" applyAlignment="1" applyProtection="1">
      <alignment horizontal="center" vertical="center"/>
      <protection locked="0"/>
    </xf>
    <xf numFmtId="171" fontId="7" fillId="0" borderId="53" xfId="0" applyNumberFormat="1" applyFont="1" applyBorder="1" applyAlignment="1">
      <alignment horizontal="center" vertical="center"/>
    </xf>
    <xf numFmtId="171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1" fontId="7" fillId="8" borderId="4" xfId="0" applyNumberFormat="1" applyFont="1" applyFill="1" applyBorder="1" applyAlignment="1" applyProtection="1">
      <alignment vertical="center"/>
      <protection locked="0"/>
    </xf>
    <xf numFmtId="171" fontId="7" fillId="2" borderId="37" xfId="0" applyNumberFormat="1" applyFont="1" applyFill="1" applyBorder="1" applyAlignment="1">
      <alignment horizontal="center" vertical="center"/>
    </xf>
    <xf numFmtId="171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1" fontId="7" fillId="8" borderId="9" xfId="0" applyNumberFormat="1" applyFont="1" applyFill="1" applyBorder="1" applyAlignment="1" applyProtection="1">
      <alignment vertical="center"/>
      <protection locked="0"/>
    </xf>
    <xf numFmtId="171" fontId="7" fillId="2" borderId="36" xfId="0" applyNumberFormat="1" applyFont="1" applyFill="1" applyBorder="1" applyAlignment="1">
      <alignment horizontal="center" vertical="center"/>
    </xf>
    <xf numFmtId="171" fontId="7" fillId="2" borderId="39" xfId="0" applyNumberFormat="1" applyFont="1" applyFill="1" applyBorder="1" applyAlignment="1">
      <alignment horizontal="center" vertical="center"/>
    </xf>
    <xf numFmtId="171" fontId="7" fillId="8" borderId="8" xfId="15" applyNumberFormat="1" applyFont="1" applyFill="1" applyBorder="1" applyAlignment="1" applyProtection="1">
      <alignment horizontal="center" vertical="center"/>
      <protection locked="0"/>
    </xf>
    <xf numFmtId="171" fontId="7" fillId="8" borderId="9" xfId="15" applyNumberFormat="1" applyFont="1" applyFill="1" applyBorder="1" applyAlignment="1" applyProtection="1">
      <alignment horizontal="center" vertical="center"/>
      <protection locked="0"/>
    </xf>
    <xf numFmtId="171" fontId="7" fillId="8" borderId="16" xfId="15" applyNumberFormat="1" applyFont="1" applyFill="1" applyBorder="1" applyAlignment="1" applyProtection="1">
      <alignment horizontal="center" vertical="center"/>
      <protection locked="0"/>
    </xf>
    <xf numFmtId="171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1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1" fontId="8" fillId="5" borderId="12" xfId="0" applyNumberFormat="1" applyFont="1" applyFill="1" applyBorder="1" applyAlignment="1">
      <alignment horizontal="right" vertical="center"/>
    </xf>
    <xf numFmtId="171" fontId="8" fillId="5" borderId="32" xfId="0" applyNumberFormat="1" applyFont="1" applyFill="1" applyBorder="1" applyAlignment="1">
      <alignment horizontal="right" vertical="center"/>
    </xf>
    <xf numFmtId="171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1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1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1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7" fontId="8" fillId="2" borderId="25" xfId="14" applyNumberFormat="1" applyFont="1" applyFill="1" applyBorder="1" applyAlignment="1" applyProtection="1">
      <alignment horizontal="center" vertical="center" wrapText="1"/>
    </xf>
    <xf numFmtId="167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1" fontId="7" fillId="8" borderId="13" xfId="15" applyNumberFormat="1" applyFont="1" applyFill="1" applyBorder="1" applyAlignment="1" applyProtection="1">
      <alignment horizontal="center" vertical="center"/>
      <protection locked="0"/>
    </xf>
    <xf numFmtId="171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4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1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1" fontId="9" fillId="3" borderId="38" xfId="0" applyNumberFormat="1" applyFont="1" applyFill="1" applyBorder="1" applyAlignment="1">
      <alignment horizontal="center" vertical="center"/>
    </xf>
    <xf numFmtId="171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1" fontId="8" fillId="2" borderId="22" xfId="0" applyNumberFormat="1" applyFont="1" applyFill="1" applyBorder="1" applyAlignment="1">
      <alignment horizontal="center" vertical="center"/>
    </xf>
    <xf numFmtId="171" fontId="8" fillId="0" borderId="22" xfId="0" applyNumberFormat="1" applyFont="1" applyBorder="1" applyAlignment="1">
      <alignment horizontal="center" vertical="center"/>
    </xf>
    <xf numFmtId="171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1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9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7" fontId="7" fillId="0" borderId="18" xfId="14" applyNumberFormat="1" applyFont="1" applyBorder="1" applyAlignment="1" applyProtection="1">
      <alignment vertical="center"/>
    </xf>
    <xf numFmtId="167" fontId="7" fillId="0" borderId="34" xfId="14" applyNumberFormat="1" applyFont="1" applyBorder="1" applyAlignment="1" applyProtection="1">
      <alignment vertical="center"/>
    </xf>
    <xf numFmtId="167" fontId="7" fillId="0" borderId="0" xfId="14" applyNumberFormat="1" applyFont="1" applyBorder="1" applyAlignment="1" applyProtection="1">
      <alignment vertical="center"/>
    </xf>
    <xf numFmtId="167" fontId="8" fillId="2" borderId="38" xfId="14" applyNumberFormat="1" applyFont="1" applyFill="1" applyBorder="1" applyAlignment="1" applyProtection="1">
      <alignment horizontal="center" vertical="center" wrapText="1"/>
    </xf>
    <xf numFmtId="167" fontId="8" fillId="2" borderId="29" xfId="14" applyNumberFormat="1" applyFont="1" applyFill="1" applyBorder="1" applyAlignment="1" applyProtection="1">
      <alignment horizontal="center" vertical="center" wrapText="1"/>
    </xf>
    <xf numFmtId="167" fontId="8" fillId="2" borderId="15" xfId="14" applyNumberFormat="1" applyFont="1" applyFill="1" applyBorder="1" applyAlignment="1" applyProtection="1">
      <alignment horizontal="center" vertical="center" wrapText="1"/>
    </xf>
    <xf numFmtId="167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1" fontId="7" fillId="0" borderId="22" xfId="0" applyNumberFormat="1" applyFont="1" applyBorder="1" applyAlignment="1">
      <alignment horizontal="center" vertical="center"/>
    </xf>
    <xf numFmtId="171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1" fontId="7" fillId="0" borderId="36" xfId="0" applyNumberFormat="1" applyFont="1" applyBorder="1" applyAlignment="1">
      <alignment horizontal="center" vertical="center"/>
    </xf>
    <xf numFmtId="171" fontId="7" fillId="10" borderId="36" xfId="0" applyNumberFormat="1" applyFont="1" applyFill="1" applyBorder="1" applyAlignment="1">
      <alignment horizontal="center" vertical="center"/>
    </xf>
    <xf numFmtId="171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5" fontId="7" fillId="2" borderId="0" xfId="0" applyNumberFormat="1" applyFont="1" applyFill="1" applyAlignment="1" applyProtection="1">
      <alignment horizontal="left" vertical="center"/>
      <protection locked="0"/>
    </xf>
    <xf numFmtId="175" fontId="7" fillId="2" borderId="0" xfId="0" applyNumberFormat="1" applyFont="1" applyFill="1" applyAlignment="1">
      <alignment horizontal="left" vertical="center"/>
    </xf>
    <xf numFmtId="175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1" fontId="7" fillId="10" borderId="12" xfId="0" applyNumberFormat="1" applyFont="1" applyFill="1" applyBorder="1" applyAlignment="1">
      <alignment horizontal="center" vertical="center"/>
    </xf>
    <xf numFmtId="171" fontId="7" fillId="0" borderId="34" xfId="0" applyNumberFormat="1" applyFont="1" applyBorder="1" applyAlignment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1" fontId="7" fillId="2" borderId="70" xfId="0" applyNumberFormat="1" applyFont="1" applyFill="1" applyBorder="1" applyAlignment="1">
      <alignment horizontal="center" vertical="center"/>
    </xf>
    <xf numFmtId="171" fontId="7" fillId="2" borderId="26" xfId="0" applyNumberFormat="1" applyFont="1" applyFill="1" applyBorder="1" applyAlignment="1">
      <alignment horizontal="center" vertical="center"/>
    </xf>
    <xf numFmtId="171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1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4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5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3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5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1" fontId="9" fillId="2" borderId="0" xfId="0" applyNumberFormat="1" applyFont="1" applyFill="1" applyAlignment="1">
      <alignment horizontal="center" vertical="center" wrapText="1"/>
    </xf>
    <xf numFmtId="169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2" borderId="4" xfId="10" applyFont="1" applyFill="1" applyBorder="1" applyAlignment="1">
      <alignment vertical="center"/>
    </xf>
    <xf numFmtId="165" fontId="13" fillId="11" borderId="4" xfId="10" applyNumberFormat="1" applyFont="1" applyFill="1" applyBorder="1" applyAlignment="1">
      <alignment horizontal="center" vertical="center" wrapText="1"/>
    </xf>
    <xf numFmtId="169" fontId="7" fillId="12" borderId="4" xfId="0" applyNumberFormat="1" applyFont="1" applyFill="1" applyBorder="1" applyAlignment="1" applyProtection="1">
      <alignment vertical="center"/>
      <protection locked="0"/>
    </xf>
    <xf numFmtId="0" fontId="16" fillId="13" borderId="21" xfId="10" applyFont="1" applyFill="1" applyBorder="1" applyAlignment="1" applyProtection="1">
      <alignment vertical="center"/>
      <protection locked="0"/>
    </xf>
    <xf numFmtId="0" fontId="14" fillId="2" borderId="21" xfId="10" applyFont="1" applyFill="1" applyBorder="1" applyAlignment="1" applyProtection="1">
      <alignment horizontal="center" vertical="center"/>
      <protection locked="0"/>
    </xf>
    <xf numFmtId="0" fontId="17" fillId="2" borderId="4" xfId="10" applyFont="1" applyFill="1" applyBorder="1" applyAlignment="1" applyProtection="1">
      <alignment horizontal="center" vertical="center"/>
      <protection locked="0"/>
    </xf>
    <xf numFmtId="0" fontId="16" fillId="0" borderId="21" xfId="10" applyFont="1" applyFill="1" applyBorder="1" applyAlignment="1" applyProtection="1">
      <alignment vertical="center"/>
      <protection locked="0"/>
    </xf>
    <xf numFmtId="0" fontId="17" fillId="0" borderId="21" xfId="10" applyFont="1" applyFill="1" applyBorder="1" applyAlignment="1" applyProtection="1">
      <alignment horizontal="center" vertical="center"/>
      <protection locked="0"/>
    </xf>
    <xf numFmtId="0" fontId="14" fillId="0" borderId="3" xfId="10" applyFont="1" applyFill="1" applyBorder="1" applyAlignment="1" applyProtection="1">
      <alignment horizontal="center" vertical="center"/>
      <protection locked="0"/>
    </xf>
    <xf numFmtId="0" fontId="14" fillId="0" borderId="4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Fill="1" applyBorder="1" applyAlignment="1" applyProtection="1">
      <alignment horizontal="center" vertical="center"/>
      <protection locked="0"/>
    </xf>
    <xf numFmtId="0" fontId="14" fillId="0" borderId="64" xfId="10" applyFont="1" applyFill="1" applyBorder="1" applyAlignment="1" applyProtection="1">
      <alignment horizontal="center" vertical="center"/>
      <protection locked="0"/>
    </xf>
    <xf numFmtId="0" fontId="17" fillId="0" borderId="4" xfId="10" applyFont="1" applyFill="1" applyBorder="1" applyAlignment="1" applyProtection="1">
      <alignment horizontal="center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2" fillId="12" borderId="49" xfId="9" applyNumberFormat="1" applyFont="1" applyFill="1" applyBorder="1" applyAlignment="1" applyProtection="1">
      <alignment horizontal="left" vertical="center"/>
      <protection locked="0"/>
    </xf>
    <xf numFmtId="0" fontId="12" fillId="12" borderId="1" xfId="9" applyNumberFormat="1" applyFont="1" applyFill="1" applyBorder="1" applyAlignment="1" applyProtection="1">
      <alignment horizontal="left" vertical="center"/>
      <protection locked="0"/>
    </xf>
    <xf numFmtId="0" fontId="12" fillId="12" borderId="31" xfId="9" applyNumberFormat="1" applyFont="1" applyFill="1" applyBorder="1" applyAlignment="1" applyProtection="1">
      <alignment horizontal="left" vertical="center"/>
      <protection locked="0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left" vertical="center" wrapText="1"/>
      <protection locked="0"/>
    </xf>
    <xf numFmtId="0" fontId="7" fillId="8" borderId="1" xfId="0" applyFont="1" applyFill="1" applyBorder="1" applyAlignment="1" applyProtection="1">
      <alignment horizontal="left" vertical="center"/>
      <protection locked="0"/>
    </xf>
    <xf numFmtId="0" fontId="7" fillId="8" borderId="2" xfId="0" applyFont="1" applyFill="1" applyBorder="1" applyAlignment="1" applyProtection="1">
      <alignment horizontal="left" vertical="center"/>
      <protection locked="0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169" fontId="19" fillId="8" borderId="4" xfId="0" applyNumberFormat="1" applyFont="1" applyFill="1" applyBorder="1" applyAlignment="1" applyProtection="1">
      <alignment horizontal="left" vertical="center"/>
      <protection locked="0"/>
    </xf>
    <xf numFmtId="169" fontId="19" fillId="8" borderId="33" xfId="0" applyNumberFormat="1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</cellXfs>
  <cellStyles count="17">
    <cellStyle name="Euro" xfId="1" xr:uid="{00000000-0005-0000-0000-000000000000}"/>
    <cellStyle name="Hipervínculo" xfId="3" builtinId="8" hidden="1"/>
    <cellStyle name="Hipervínculo" xfId="5" builtinId="8" hidden="1"/>
    <cellStyle name="Hipervínculo" xfId="7" builtinId="8" hidden="1"/>
    <cellStyle name="Hipervínculo visitado" xfId="4" builtinId="9" hidden="1"/>
    <cellStyle name="Hipervínculo visitado" xfId="6" builtinId="9" hidden="1"/>
    <cellStyle name="Hipervínculo visitado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rcentaje" xfId="9" builtinId="5"/>
    <cellStyle name="Pourcentage 2" xfId="11" xr:uid="{00000000-0005-0000-0000-00000F000000}"/>
    <cellStyle name="Pourcentage 3" xfId="12" xr:uid="{00000000-0005-0000-0000-000010000000}"/>
  </cellStyles>
  <dxfs count="76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99FF"/>
      <color rgb="FFFAF0F0"/>
      <color rgb="FFFBE1E1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ude Petignier" id="{D0E3E522-F75E-4000-B668-700680A22554}" userId="S::aupetign@univ-lyon2.fr::0cfc3b39-2d69-4650-8169-3d8fdd988ac9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6" dT="2021-11-10T08:15:32.48" personId="{D0E3E522-F75E-4000-B668-700680A22554}" id="{B68EF791-3B2B-48B3-950A-1066FED3A884}">
    <text>remplacé par le bon tarif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tabSelected="1" zoomScale="76" zoomScaleNormal="76" workbookViewId="0">
      <pane xSplit="3" ySplit="7" topLeftCell="D20" activePane="bottomRight" state="frozen"/>
      <selection pane="topRight" activeCell="D1" sqref="D1"/>
      <selection pane="bottomLeft" activeCell="A7" sqref="A7"/>
      <selection pane="bottomRight" activeCell="C25" sqref="C25"/>
    </sheetView>
  </sheetViews>
  <sheetFormatPr baseColWidth="10" defaultColWidth="11.54296875" defaultRowHeight="15.5" outlineLevelCol="1" x14ac:dyDescent="0.25"/>
  <cols>
    <col min="1" max="1" width="11.54296875" style="9"/>
    <col min="2" max="2" width="8.54296875" style="9" customWidth="1"/>
    <col min="3" max="3" width="50" style="10" customWidth="1"/>
    <col min="4" max="4" width="10.1796875" style="10" customWidth="1"/>
    <col min="5" max="5" width="13" style="10" customWidth="1"/>
    <col min="6" max="6" width="9.453125" style="10" customWidth="1"/>
    <col min="7" max="8" width="10" style="10" customWidth="1"/>
    <col min="9" max="11" width="11.453125" style="10" customWidth="1"/>
    <col min="12" max="12" width="12.54296875" style="10" customWidth="1"/>
    <col min="13" max="15" width="12.453125" style="10" customWidth="1"/>
    <col min="16" max="16" width="11.54296875" style="11" customWidth="1"/>
    <col min="17" max="27" width="12.453125" style="10" customWidth="1"/>
    <col min="28" max="28" width="34.1796875" style="10" customWidth="1"/>
    <col min="29" max="29" width="11.453125" style="10" hidden="1" customWidth="1" outlineLevel="1"/>
    <col min="30" max="30" width="10.81640625" style="10" hidden="1" customWidth="1" outlineLevel="1"/>
    <col min="31" max="31" width="11.54296875" style="10" collapsed="1"/>
    <col min="32" max="16384" width="11.54296875" style="10"/>
  </cols>
  <sheetData>
    <row r="1" spans="1:30" ht="6" customHeight="1" x14ac:dyDescent="0.25"/>
    <row r="2" spans="1:30" ht="31" x14ac:dyDescent="0.25">
      <c r="A2" s="10"/>
      <c r="H2" s="398" t="s">
        <v>0</v>
      </c>
      <c r="I2" s="396" t="s">
        <v>1</v>
      </c>
      <c r="J2" s="397" t="s">
        <v>2</v>
      </c>
      <c r="K2" s="396" t="s">
        <v>3</v>
      </c>
      <c r="L2" s="396" t="s">
        <v>4</v>
      </c>
      <c r="M2" s="408"/>
    </row>
    <row r="3" spans="1:30" ht="18" customHeight="1" x14ac:dyDescent="0.25">
      <c r="A3" s="10"/>
      <c r="G3" s="25" t="s">
        <v>5</v>
      </c>
      <c r="H3" s="395">
        <f ca="1">SUM(I3:L3)</f>
        <v>1067.4193548387098</v>
      </c>
      <c r="I3" s="401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+SUMIFS($AC$8:$AC$88,$G$8:$G$88,Paramétrage!$D$13,Enseignements!$D$8:$D$88,"mixte")+SUMIFS($AC$8:$AC$88,$G$8:$G$88,Paramétrage!$D$13,Enseignements!$D$8:$D$88,"FI/FC")+SUMIFS($AC$8:$AC$88,$G$8:$G$88,Paramétrage!$D$14,Enseignements!$D$8:$D$88,"mixte")+SUMIFS($AC$8:$AC$88,$G$8:$G$88,Paramétrage!$D$14,Enseignements!$D$8:$D$88,"FI/FC")</f>
        <v>227.41935483870964</v>
      </c>
      <c r="J3" s="401">
        <f ca="1">SUMIF($G$8:$G$88,Paramétrage!$D$9,$AC$8:$AC$88)</f>
        <v>840</v>
      </c>
      <c r="K3" s="401">
        <f>SUMIFS($AC$8:$AC$88,$G$8:$G$88,Paramétrage!$D$15,Enseignements!$D$8:$D$88,"mixte")+SUMIFS($AC$8:$AC$88,$G$8:$G$88,Paramétrage!$D$15,Enseignements!$D$8:$D$88,"FI/FC")</f>
        <v>0</v>
      </c>
      <c r="L3" s="401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08"/>
    </row>
    <row r="4" spans="1:30" ht="18" customHeight="1" x14ac:dyDescent="0.25">
      <c r="A4" s="10"/>
      <c r="G4" s="25" t="s">
        <v>6</v>
      </c>
      <c r="H4" s="422">
        <f ca="1">SUM(I4:L4)</f>
        <v>401.41935483870964</v>
      </c>
      <c r="I4" s="401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+SUMIFS($AC$8:$AC$88,$G$8:$G$88,Paramétrage!$D$13,Enseignements!$D$8:$D$88,"mixte")+SUMIFS($AC$8:$AC$88,$G$8:$G$88,Paramétrage!$D$13,Enseignements!$D$8:$D$88,"ALT")+SUMIFS($AC$8:$AC$88,$G$8:$G$88,Paramétrage!$D$14,Enseignements!$D$8:$D$88,"mixte")+SUMIFS($AC$8:$AC$88,$G$8:$G$88,Paramétrage!$D$14,Enseignements!$D$8:$D$88,"ALT")</f>
        <v>227.41935483870964</v>
      </c>
      <c r="J4" s="401">
        <f ca="1">SUMIF($G$8:$G$88,Paramétrage!$D$12,$AC$8:$AC$88)</f>
        <v>0</v>
      </c>
      <c r="K4" s="401">
        <f ca="1">SUMIFS($AC$8:$AC$88,$G$8:$G$88,Paramétrage!$D$15,Enseignements!$D$8:$D$88,"mixte")+SUMIFS($AC$8:$AC$88,$G$8:$G$88,Paramétrage!$D$15,Enseignements!$D$8:$D$88,"ALT")</f>
        <v>154</v>
      </c>
      <c r="L4" s="401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20</v>
      </c>
      <c r="M4" s="408"/>
      <c r="W4" s="399"/>
    </row>
    <row r="5" spans="1:30" ht="6.65" customHeight="1" thickBot="1" x14ac:dyDescent="0.3">
      <c r="A5" s="10"/>
      <c r="B5" s="10"/>
    </row>
    <row r="6" spans="1:30" ht="68.5" customHeight="1" x14ac:dyDescent="0.35">
      <c r="A6" s="12"/>
      <c r="B6" s="452" t="s">
        <v>7</v>
      </c>
      <c r="C6" s="456" t="s">
        <v>8</v>
      </c>
      <c r="D6" s="456" t="s">
        <v>9</v>
      </c>
      <c r="E6" s="458" t="s">
        <v>10</v>
      </c>
      <c r="F6" s="456" t="s">
        <v>11</v>
      </c>
      <c r="G6" s="460" t="s">
        <v>12</v>
      </c>
      <c r="H6" s="460" t="s">
        <v>13</v>
      </c>
      <c r="I6" s="458" t="s">
        <v>14</v>
      </c>
      <c r="J6" s="462" t="s">
        <v>15</v>
      </c>
      <c r="K6" s="454" t="s">
        <v>16</v>
      </c>
      <c r="L6" s="447" t="s">
        <v>17</v>
      </c>
      <c r="M6" s="447"/>
      <c r="N6" s="447"/>
      <c r="O6" s="448"/>
      <c r="P6" s="44" t="s">
        <v>18</v>
      </c>
      <c r="Q6" s="44" t="s">
        <v>19</v>
      </c>
      <c r="R6" s="13" t="s">
        <v>20</v>
      </c>
      <c r="S6" s="13" t="s">
        <v>21</v>
      </c>
      <c r="T6" s="68" t="s">
        <v>22</v>
      </c>
      <c r="U6" s="361" t="s">
        <v>23</v>
      </c>
      <c r="V6" s="362" t="s">
        <v>24</v>
      </c>
      <c r="W6" s="362" t="s">
        <v>25</v>
      </c>
      <c r="X6" s="362" t="s">
        <v>26</v>
      </c>
      <c r="Y6" s="363" t="s">
        <v>27</v>
      </c>
      <c r="Z6" s="446" t="s">
        <v>28</v>
      </c>
      <c r="AA6" s="447"/>
      <c r="AB6" s="448"/>
      <c r="AC6" s="467" t="s">
        <v>29</v>
      </c>
      <c r="AD6" s="448" t="s">
        <v>30</v>
      </c>
    </row>
    <row r="7" spans="1:30" ht="16" thickBot="1" x14ac:dyDescent="0.4">
      <c r="A7" s="12"/>
      <c r="B7" s="453"/>
      <c r="C7" s="457"/>
      <c r="D7" s="457"/>
      <c r="E7" s="459"/>
      <c r="F7" s="457"/>
      <c r="G7" s="461"/>
      <c r="H7" s="461"/>
      <c r="I7" s="459"/>
      <c r="J7" s="463"/>
      <c r="K7" s="455"/>
      <c r="L7" s="450"/>
      <c r="M7" s="450"/>
      <c r="N7" s="450"/>
      <c r="O7" s="451"/>
      <c r="P7" s="416"/>
      <c r="Q7" s="14">
        <f t="shared" ref="Q7:Y7" si="0">Q48+Q89</f>
        <v>310</v>
      </c>
      <c r="R7" s="14">
        <f t="shared" si="0"/>
        <v>59</v>
      </c>
      <c r="S7" s="14">
        <f t="shared" si="0"/>
        <v>369</v>
      </c>
      <c r="T7" s="393">
        <f t="shared" si="0"/>
        <v>369</v>
      </c>
      <c r="U7" s="394">
        <f t="shared" si="0"/>
        <v>163</v>
      </c>
      <c r="V7" s="14">
        <f t="shared" si="0"/>
        <v>31</v>
      </c>
      <c r="W7" s="14">
        <f t="shared" si="0"/>
        <v>144</v>
      </c>
      <c r="X7" s="14">
        <f t="shared" si="0"/>
        <v>51</v>
      </c>
      <c r="Y7" s="14">
        <f t="shared" si="0"/>
        <v>389</v>
      </c>
      <c r="Z7" s="449"/>
      <c r="AA7" s="450"/>
      <c r="AB7" s="451"/>
      <c r="AC7" s="468"/>
      <c r="AD7" s="451"/>
    </row>
    <row r="8" spans="1:30" ht="15.65" customHeight="1" x14ac:dyDescent="0.25">
      <c r="A8" s="464" t="s">
        <v>31</v>
      </c>
      <c r="B8" s="53" t="s">
        <v>32</v>
      </c>
      <c r="C8" s="33" t="s">
        <v>33</v>
      </c>
      <c r="D8" s="402" t="s">
        <v>34</v>
      </c>
      <c r="E8" s="50" t="s">
        <v>35</v>
      </c>
      <c r="F8" s="31"/>
      <c r="G8" s="29" t="s">
        <v>36</v>
      </c>
      <c r="H8" s="41">
        <v>30</v>
      </c>
      <c r="I8" s="400">
        <v>31</v>
      </c>
      <c r="J8" s="56">
        <v>31</v>
      </c>
      <c r="K8" s="51" t="s">
        <v>37</v>
      </c>
      <c r="L8" s="438"/>
      <c r="M8" s="438"/>
      <c r="N8" s="438"/>
      <c r="O8" s="439"/>
      <c r="P8" s="364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30</v>
      </c>
      <c r="R8" s="57"/>
      <c r="S8" s="15">
        <f>IF(OR(G8="",K8="Mut+ext"),0,IF(ISERROR(Q8+R8)=TRUE,Q8,Q8+R8))</f>
        <v>30</v>
      </c>
      <c r="T8" s="58">
        <f>IF(G8="",0,IF(ISERROR(R8+Q8*VLOOKUP(G8,Paramétrage!$D$6:$F$27,3,0))=TRUE,S8,R8+Q8*VLOOKUP(G8,Paramétrage!$D$6:$F$27,3,0)))</f>
        <v>30</v>
      </c>
      <c r="U8" s="38"/>
      <c r="V8" s="38"/>
      <c r="W8" s="38">
        <v>30</v>
      </c>
      <c r="X8" s="38"/>
      <c r="Y8" s="365">
        <f>SUM(U8:X8)</f>
        <v>30</v>
      </c>
      <c r="Z8" s="437"/>
      <c r="AA8" s="438"/>
      <c r="AB8" s="439"/>
      <c r="AC8" s="27">
        <f>IF(B8="",0,IF(E8="",0,IF(SUMIF($B$8:$B$47,B8,$I$8:$I$47)=0,0,IF(E8="Obligatoire",AD8/I8,IF(F8="",AD8/SUMIF($B$8:$B$47,B8,$I$8:$I$47),AD8/(SUMIF($B$8:$B$47,B8,$I$8:$I$47)/F8))))))</f>
        <v>30</v>
      </c>
      <c r="AD8" s="60">
        <f>H8*I8</f>
        <v>930</v>
      </c>
    </row>
    <row r="9" spans="1:30" x14ac:dyDescent="0.25">
      <c r="A9" s="465"/>
      <c r="B9" s="53" t="s">
        <v>38</v>
      </c>
      <c r="C9" s="33" t="s">
        <v>39</v>
      </c>
      <c r="D9" s="33" t="s">
        <v>34</v>
      </c>
      <c r="E9" s="50" t="s">
        <v>35</v>
      </c>
      <c r="F9" s="31"/>
      <c r="G9" s="32" t="s">
        <v>36</v>
      </c>
      <c r="H9" s="42">
        <v>16</v>
      </c>
      <c r="I9" s="382">
        <v>31</v>
      </c>
      <c r="J9" s="46">
        <v>31</v>
      </c>
      <c r="K9" s="35" t="s">
        <v>37</v>
      </c>
      <c r="L9" s="435"/>
      <c r="M9" s="435"/>
      <c r="N9" s="435"/>
      <c r="O9" s="436"/>
      <c r="P9" s="364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16</v>
      </c>
      <c r="R9" s="34"/>
      <c r="S9" s="15">
        <f t="shared" ref="S9:S70" si="1">IF(OR(G9="",K9="Mut+ext"),0,IF(ISERROR(Q9+R9)=TRUE,Q9,Q9+R9))</f>
        <v>16</v>
      </c>
      <c r="T9" s="28">
        <f>IF(G9="",0,IF(ISERROR(R9+Q9*VLOOKUP(G9,Paramétrage!$D$6:$F$27,3,0))=TRUE,S9,R9+Q9*VLOOKUP(G9,Paramétrage!$D$6:$F$27,3,0)))</f>
        <v>16</v>
      </c>
      <c r="U9" s="38"/>
      <c r="V9" s="38"/>
      <c r="W9" s="38">
        <v>16</v>
      </c>
      <c r="X9" s="38"/>
      <c r="Y9" s="365">
        <f t="shared" ref="Y9:Y27" si="2">SUM(U9:X9)</f>
        <v>16</v>
      </c>
      <c r="Z9" s="434"/>
      <c r="AA9" s="435"/>
      <c r="AB9" s="436"/>
      <c r="AC9" s="27">
        <f t="shared" ref="AC9:AC47" si="3">IF(B9="",0,IF(E9="",0,IF(SUMIF($B$8:$B$47,B9,$I$8:$I$47)=0,0,IF(E9="Obligatoire",AD9/I9,IF(F9="",AD9/SUMIF($B$8:$B$47,B9,$I$8:$I$47),AD9/(SUMIF($B$8:$B$47,B9,$I$8:$I$47)/F9))))))</f>
        <v>16</v>
      </c>
      <c r="AD9" s="16">
        <f>H9*I9</f>
        <v>496</v>
      </c>
    </row>
    <row r="10" spans="1:30" x14ac:dyDescent="0.25">
      <c r="A10" s="465"/>
      <c r="B10" s="53" t="s">
        <v>40</v>
      </c>
      <c r="C10" s="30" t="s">
        <v>41</v>
      </c>
      <c r="D10" s="33" t="s">
        <v>34</v>
      </c>
      <c r="E10" s="50" t="s">
        <v>35</v>
      </c>
      <c r="F10" s="31"/>
      <c r="G10" s="32" t="s">
        <v>36</v>
      </c>
      <c r="H10" s="42">
        <v>20</v>
      </c>
      <c r="I10" s="382">
        <v>31</v>
      </c>
      <c r="J10" s="46">
        <v>31</v>
      </c>
      <c r="K10" s="35" t="s">
        <v>37</v>
      </c>
      <c r="L10" s="435"/>
      <c r="M10" s="435"/>
      <c r="N10" s="435"/>
      <c r="O10" s="436"/>
      <c r="P10" s="364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20</v>
      </c>
      <c r="R10" s="34"/>
      <c r="S10" s="15">
        <f t="shared" si="1"/>
        <v>20</v>
      </c>
      <c r="T10" s="28">
        <f>IF(G10="",0,IF(ISERROR(R10+Q10*VLOOKUP(G10,Paramétrage!$D$6:$F$27,3,0))=TRUE,S10,R10+Q10*VLOOKUP(G10,Paramétrage!$D$6:$F$27,3,0)))</f>
        <v>20</v>
      </c>
      <c r="U10" s="38">
        <v>20</v>
      </c>
      <c r="V10" s="38"/>
      <c r="W10" s="38"/>
      <c r="X10" s="38"/>
      <c r="Y10" s="365">
        <f t="shared" si="2"/>
        <v>20</v>
      </c>
      <c r="Z10" s="434"/>
      <c r="AA10" s="435"/>
      <c r="AB10" s="436"/>
      <c r="AC10" s="27">
        <f t="shared" si="3"/>
        <v>20</v>
      </c>
      <c r="AD10" s="16">
        <f>H10*I10</f>
        <v>620</v>
      </c>
    </row>
    <row r="11" spans="1:30" x14ac:dyDescent="0.25">
      <c r="A11" s="465"/>
      <c r="B11" s="53" t="s">
        <v>42</v>
      </c>
      <c r="C11" s="30" t="s">
        <v>43</v>
      </c>
      <c r="D11" s="33" t="s">
        <v>34</v>
      </c>
      <c r="E11" s="50" t="s">
        <v>35</v>
      </c>
      <c r="F11" s="31"/>
      <c r="G11" s="32" t="s">
        <v>36</v>
      </c>
      <c r="H11" s="42">
        <v>16</v>
      </c>
      <c r="I11" s="382">
        <v>31</v>
      </c>
      <c r="J11" s="46">
        <v>31</v>
      </c>
      <c r="K11" s="35" t="s">
        <v>37</v>
      </c>
      <c r="L11" s="435"/>
      <c r="M11" s="435"/>
      <c r="N11" s="435"/>
      <c r="O11" s="436"/>
      <c r="P11" s="364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16</v>
      </c>
      <c r="R11" s="34"/>
      <c r="S11" s="15">
        <f t="shared" si="1"/>
        <v>16</v>
      </c>
      <c r="T11" s="28">
        <f>IF(G11="",0,IF(ISERROR(R11+Q11*VLOOKUP(G11,Paramétrage!$D$6:$F$27,3,0))=TRUE,S11,R11+Q11*VLOOKUP(G11,Paramétrage!$D$6:$F$27,3,0)))</f>
        <v>16</v>
      </c>
      <c r="U11" s="38">
        <v>16</v>
      </c>
      <c r="V11" s="38"/>
      <c r="W11" s="38"/>
      <c r="X11" s="38"/>
      <c r="Y11" s="365">
        <f t="shared" si="2"/>
        <v>16</v>
      </c>
      <c r="Z11" s="434"/>
      <c r="AA11" s="435"/>
      <c r="AB11" s="436"/>
      <c r="AC11" s="27">
        <f t="shared" si="3"/>
        <v>16</v>
      </c>
      <c r="AD11" s="16">
        <f>H11*I11</f>
        <v>496</v>
      </c>
    </row>
    <row r="12" spans="1:30" x14ac:dyDescent="0.25">
      <c r="A12" s="465"/>
      <c r="B12" s="53" t="s">
        <v>44</v>
      </c>
      <c r="C12" s="30" t="s">
        <v>303</v>
      </c>
      <c r="D12" s="33" t="s">
        <v>34</v>
      </c>
      <c r="E12" s="50" t="s">
        <v>35</v>
      </c>
      <c r="F12" s="31"/>
      <c r="G12" s="32" t="s">
        <v>36</v>
      </c>
      <c r="H12" s="42">
        <v>20</v>
      </c>
      <c r="I12" s="382">
        <v>31</v>
      </c>
      <c r="J12" s="46">
        <v>31</v>
      </c>
      <c r="K12" s="35" t="s">
        <v>37</v>
      </c>
      <c r="L12" s="435"/>
      <c r="M12" s="435"/>
      <c r="N12" s="435"/>
      <c r="O12" s="436"/>
      <c r="P12" s="364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20</v>
      </c>
      <c r="R12" s="34"/>
      <c r="S12" s="15">
        <f t="shared" si="1"/>
        <v>20</v>
      </c>
      <c r="T12" s="28">
        <f>IF(G12="",0,IF(ISERROR(R12+Q12*VLOOKUP(G12,Paramétrage!$D$6:$F$27,3,0))=TRUE,S12,R12+Q12*VLOOKUP(G12,Paramétrage!$D$6:$F$27,3,0)))</f>
        <v>20</v>
      </c>
      <c r="U12" s="38"/>
      <c r="V12" s="38"/>
      <c r="W12" s="38">
        <v>16</v>
      </c>
      <c r="X12" s="38"/>
      <c r="Y12" s="365">
        <f t="shared" si="2"/>
        <v>16</v>
      </c>
      <c r="Z12" s="434"/>
      <c r="AA12" s="435"/>
      <c r="AB12" s="436"/>
      <c r="AC12" s="27">
        <f t="shared" si="3"/>
        <v>20</v>
      </c>
      <c r="AD12" s="16">
        <f t="shared" ref="AD12:AD23" si="4">H12*I12</f>
        <v>620</v>
      </c>
    </row>
    <row r="13" spans="1:30" x14ac:dyDescent="0.25">
      <c r="A13" s="465"/>
      <c r="B13" s="53" t="s">
        <v>45</v>
      </c>
      <c r="C13" s="30" t="s">
        <v>46</v>
      </c>
      <c r="D13" s="33" t="s">
        <v>34</v>
      </c>
      <c r="E13" s="50" t="s">
        <v>35</v>
      </c>
      <c r="F13" s="31"/>
      <c r="G13" s="32" t="s">
        <v>36</v>
      </c>
      <c r="H13" s="42">
        <v>16</v>
      </c>
      <c r="I13" s="382">
        <v>31</v>
      </c>
      <c r="J13" s="46">
        <v>31</v>
      </c>
      <c r="K13" s="35" t="s">
        <v>37</v>
      </c>
      <c r="L13" s="435"/>
      <c r="M13" s="435"/>
      <c r="N13" s="435"/>
      <c r="O13" s="436"/>
      <c r="P13" s="364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16</v>
      </c>
      <c r="R13" s="34"/>
      <c r="S13" s="15">
        <f t="shared" si="1"/>
        <v>16</v>
      </c>
      <c r="T13" s="28">
        <f>IF(G13="",0,IF(ISERROR(R13+Q13*VLOOKUP(G13,Paramétrage!$D$6:$F$27,3,0))=TRUE,S13,R13+Q13*VLOOKUP(G13,Paramétrage!$D$6:$F$27,3,0)))</f>
        <v>16</v>
      </c>
      <c r="U13" s="38"/>
      <c r="V13" s="38"/>
      <c r="W13" s="38">
        <v>16</v>
      </c>
      <c r="X13" s="38"/>
      <c r="Y13" s="365">
        <f t="shared" si="2"/>
        <v>16</v>
      </c>
      <c r="Z13" s="434"/>
      <c r="AA13" s="435"/>
      <c r="AB13" s="436"/>
      <c r="AC13" s="27">
        <f t="shared" si="3"/>
        <v>16</v>
      </c>
      <c r="AD13" s="16">
        <f t="shared" si="4"/>
        <v>496</v>
      </c>
    </row>
    <row r="14" spans="1:30" x14ac:dyDescent="0.25">
      <c r="A14" s="465"/>
      <c r="B14" s="53" t="s">
        <v>47</v>
      </c>
      <c r="C14" s="33" t="s">
        <v>48</v>
      </c>
      <c r="D14" s="33" t="s">
        <v>34</v>
      </c>
      <c r="E14" s="50" t="s">
        <v>35</v>
      </c>
      <c r="F14" s="31"/>
      <c r="G14" s="32" t="s">
        <v>36</v>
      </c>
      <c r="H14" s="42">
        <v>30</v>
      </c>
      <c r="I14" s="382">
        <v>31</v>
      </c>
      <c r="J14" s="46">
        <v>31</v>
      </c>
      <c r="K14" s="35" t="s">
        <v>37</v>
      </c>
      <c r="L14" s="435"/>
      <c r="M14" s="435"/>
      <c r="N14" s="435"/>
      <c r="O14" s="436"/>
      <c r="P14" s="364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30</v>
      </c>
      <c r="R14" s="34"/>
      <c r="S14" s="15">
        <f t="shared" si="1"/>
        <v>30</v>
      </c>
      <c r="T14" s="28">
        <f>IF(G14="",0,IF(ISERROR(R14+Q14*VLOOKUP(G14,Paramétrage!$D$6:$F$27,3,0))=TRUE,S14,R14+Q14*VLOOKUP(G14,Paramétrage!$D$6:$F$27,3,0)))</f>
        <v>30</v>
      </c>
      <c r="U14" s="38"/>
      <c r="V14" s="38"/>
      <c r="W14" s="38">
        <v>30</v>
      </c>
      <c r="X14" s="38"/>
      <c r="Y14" s="365">
        <f t="shared" si="2"/>
        <v>30</v>
      </c>
      <c r="Z14" s="434"/>
      <c r="AA14" s="435"/>
      <c r="AB14" s="436"/>
      <c r="AC14" s="27">
        <f t="shared" si="3"/>
        <v>30</v>
      </c>
      <c r="AD14" s="16">
        <f t="shared" ref="AD14:AD16" si="5">H14*I14</f>
        <v>930</v>
      </c>
    </row>
    <row r="15" spans="1:30" x14ac:dyDescent="0.25">
      <c r="A15" s="465"/>
      <c r="B15" s="53" t="s">
        <v>49</v>
      </c>
      <c r="C15" s="427" t="s">
        <v>50</v>
      </c>
      <c r="D15" s="33" t="s">
        <v>34</v>
      </c>
      <c r="E15" s="50" t="s">
        <v>35</v>
      </c>
      <c r="F15" s="31"/>
      <c r="G15" s="32" t="s">
        <v>36</v>
      </c>
      <c r="H15" s="42">
        <v>20</v>
      </c>
      <c r="I15" s="382">
        <v>31</v>
      </c>
      <c r="J15" s="46">
        <v>31</v>
      </c>
      <c r="K15" s="35" t="s">
        <v>37</v>
      </c>
      <c r="L15" s="435"/>
      <c r="M15" s="435"/>
      <c r="N15" s="435"/>
      <c r="O15" s="436"/>
      <c r="P15" s="364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20</v>
      </c>
      <c r="R15" s="34"/>
      <c r="S15" s="15">
        <f t="shared" si="1"/>
        <v>20</v>
      </c>
      <c r="T15" s="28">
        <f>IF(G15="",0,IF(ISERROR(R15+Q15*VLOOKUP(G15,Paramétrage!$D$6:$F$27,3,0))=TRUE,S15,R15+Q15*VLOOKUP(G15,Paramétrage!$D$6:$F$27,3,0)))</f>
        <v>20</v>
      </c>
      <c r="U15" s="38"/>
      <c r="V15" s="38"/>
      <c r="W15" s="38">
        <v>20</v>
      </c>
      <c r="X15" s="38"/>
      <c r="Y15" s="365">
        <f t="shared" si="2"/>
        <v>20</v>
      </c>
      <c r="Z15" s="434"/>
      <c r="AA15" s="435"/>
      <c r="AB15" s="436"/>
      <c r="AC15" s="27">
        <f t="shared" si="3"/>
        <v>20</v>
      </c>
      <c r="AD15" s="16">
        <f t="shared" si="5"/>
        <v>620</v>
      </c>
    </row>
    <row r="16" spans="1:30" x14ac:dyDescent="0.25">
      <c r="A16" s="465"/>
      <c r="B16" s="53"/>
      <c r="C16" s="427"/>
      <c r="D16" s="33"/>
      <c r="E16" s="50"/>
      <c r="F16" s="31"/>
      <c r="G16" s="32"/>
      <c r="H16" s="42"/>
      <c r="I16" s="382"/>
      <c r="J16" s="46"/>
      <c r="K16" s="35"/>
      <c r="L16" s="435"/>
      <c r="M16" s="435"/>
      <c r="N16" s="435"/>
      <c r="O16" s="436"/>
      <c r="P16" s="364">
        <f>IF(OR(J16="",G16=Paramétrage!$D$9,G16=Paramétrage!$D$12,G16=Paramétrage!$D$15,G16=Paramétrage!$D$18,G16=Paramétrage!$D$22,G16=Paramétrage!$D$25,AND(G16&lt;&gt;Paramétrage!$D$9,K16="Mut+ext")),0,ROUNDUP(I16/J16,0))</f>
        <v>0</v>
      </c>
      <c r="Q16" s="17">
        <f>IF(OR(G16="",K16="Mut+ext"),0,IF(VLOOKUP(G16,Paramétrage!$D$6:$F$27,3,0)=0,0,IF(J16="","saisir capacité",H16*P16*VLOOKUP(G16,Paramétrage!$D$6:$F$27,2,0))))</f>
        <v>0</v>
      </c>
      <c r="R16" s="34"/>
      <c r="S16" s="15">
        <f t="shared" si="1"/>
        <v>0</v>
      </c>
      <c r="T16" s="28">
        <f>IF(G16="",0,IF(ISERROR(R16+Q16*VLOOKUP(G16,Paramétrage!$D$6:$F$27,3,0))=TRUE,S16,R16+Q16*VLOOKUP(G16,Paramétrage!$D$6:$F$27,3,0)))</f>
        <v>0</v>
      </c>
      <c r="U16" s="38"/>
      <c r="V16" s="38"/>
      <c r="W16" s="38">
        <v>16</v>
      </c>
      <c r="X16" s="38"/>
      <c r="Y16" s="365">
        <f t="shared" si="2"/>
        <v>16</v>
      </c>
      <c r="Z16" s="434"/>
      <c r="AA16" s="435"/>
      <c r="AB16" s="436"/>
      <c r="AC16" s="27">
        <f t="shared" si="3"/>
        <v>0</v>
      </c>
      <c r="AD16" s="16">
        <f t="shared" si="5"/>
        <v>0</v>
      </c>
    </row>
    <row r="17" spans="1:30" x14ac:dyDescent="0.25">
      <c r="A17" s="465"/>
      <c r="B17" s="53" t="s">
        <v>51</v>
      </c>
      <c r="C17" s="427" t="s">
        <v>53</v>
      </c>
      <c r="D17" s="33" t="s">
        <v>34</v>
      </c>
      <c r="E17" s="50" t="s">
        <v>35</v>
      </c>
      <c r="F17" s="31"/>
      <c r="G17" s="32" t="s">
        <v>36</v>
      </c>
      <c r="H17" s="42">
        <v>20</v>
      </c>
      <c r="I17" s="382">
        <v>31</v>
      </c>
      <c r="J17" s="46">
        <v>31</v>
      </c>
      <c r="K17" s="35" t="s">
        <v>37</v>
      </c>
      <c r="L17" s="435"/>
      <c r="M17" s="435"/>
      <c r="N17" s="435"/>
      <c r="O17" s="436"/>
      <c r="P17" s="364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20</v>
      </c>
      <c r="R17" s="34"/>
      <c r="S17" s="15">
        <f t="shared" si="1"/>
        <v>20</v>
      </c>
      <c r="T17" s="28">
        <f>IF(G17="",0,IF(ISERROR(R17+Q17*VLOOKUP(G17,Paramétrage!$D$6:$F$27,3,0))=TRUE,S17,R17+Q17*VLOOKUP(G17,Paramétrage!$D$6:$F$27,3,0)))</f>
        <v>20</v>
      </c>
      <c r="U17" s="38"/>
      <c r="V17" s="38"/>
      <c r="W17" s="38"/>
      <c r="X17" s="38">
        <v>28</v>
      </c>
      <c r="Y17" s="365">
        <f t="shared" si="2"/>
        <v>28</v>
      </c>
      <c r="Z17" s="434" t="s">
        <v>54</v>
      </c>
      <c r="AA17" s="435"/>
      <c r="AB17" s="436"/>
      <c r="AC17" s="27">
        <f t="shared" si="3"/>
        <v>20</v>
      </c>
      <c r="AD17" s="16">
        <f t="shared" si="4"/>
        <v>620</v>
      </c>
    </row>
    <row r="18" spans="1:30" x14ac:dyDescent="0.25">
      <c r="A18" s="465"/>
      <c r="B18" s="53" t="s">
        <v>52</v>
      </c>
      <c r="C18" s="33" t="s">
        <v>56</v>
      </c>
      <c r="D18" s="33" t="s">
        <v>34</v>
      </c>
      <c r="E18" s="50" t="s">
        <v>35</v>
      </c>
      <c r="F18" s="31"/>
      <c r="G18" s="32" t="s">
        <v>36</v>
      </c>
      <c r="H18" s="42">
        <v>20</v>
      </c>
      <c r="I18" s="382">
        <v>31</v>
      </c>
      <c r="J18" s="46">
        <v>31</v>
      </c>
      <c r="K18" s="35" t="s">
        <v>37</v>
      </c>
      <c r="L18" s="435"/>
      <c r="M18" s="435"/>
      <c r="N18" s="435"/>
      <c r="O18" s="436"/>
      <c r="P18" s="364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20</v>
      </c>
      <c r="R18" s="34"/>
      <c r="S18" s="15">
        <f t="shared" si="1"/>
        <v>20</v>
      </c>
      <c r="T18" s="28">
        <f>IF(G18="",0,IF(ISERROR(R18+Q18*VLOOKUP(G18,Paramétrage!$D$6:$F$27,3,0))=TRUE,S18,R18+Q18*VLOOKUP(G18,Paramétrage!$D$6:$F$27,3,0)))</f>
        <v>20</v>
      </c>
      <c r="U18" s="38">
        <v>20</v>
      </c>
      <c r="V18" s="38"/>
      <c r="W18" s="38"/>
      <c r="X18" s="38"/>
      <c r="Y18" s="365">
        <f t="shared" si="2"/>
        <v>20</v>
      </c>
      <c r="Z18" s="434"/>
      <c r="AA18" s="435"/>
      <c r="AB18" s="436"/>
      <c r="AC18" s="27">
        <f t="shared" si="3"/>
        <v>20</v>
      </c>
      <c r="AD18" s="16">
        <f t="shared" si="4"/>
        <v>620</v>
      </c>
    </row>
    <row r="19" spans="1:30" x14ac:dyDescent="0.25">
      <c r="A19" s="465"/>
      <c r="B19" s="53" t="s">
        <v>55</v>
      </c>
      <c r="C19" s="33" t="s">
        <v>58</v>
      </c>
      <c r="D19" s="33" t="s">
        <v>34</v>
      </c>
      <c r="E19" s="50" t="s">
        <v>59</v>
      </c>
      <c r="F19" s="31">
        <v>1</v>
      </c>
      <c r="G19" s="32" t="s">
        <v>36</v>
      </c>
      <c r="H19" s="42">
        <v>20</v>
      </c>
      <c r="I19" s="382">
        <v>3</v>
      </c>
      <c r="J19" s="429">
        <v>3</v>
      </c>
      <c r="K19" s="35" t="s">
        <v>37</v>
      </c>
      <c r="L19" s="435"/>
      <c r="M19" s="435"/>
      <c r="N19" s="435"/>
      <c r="O19" s="436"/>
      <c r="P19" s="364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20</v>
      </c>
      <c r="R19" s="34"/>
      <c r="S19" s="15">
        <f t="shared" si="1"/>
        <v>20</v>
      </c>
      <c r="T19" s="28">
        <f>IF(G19="",0,IF(ISERROR(R19+Q19*VLOOKUP(G19,Paramétrage!$D$6:$F$27,3,0))=TRUE,S19,R19+Q19*VLOOKUP(G19,Paramétrage!$D$6:$F$27,3,0)))</f>
        <v>20</v>
      </c>
      <c r="U19" s="38">
        <v>20</v>
      </c>
      <c r="V19" s="38"/>
      <c r="W19" s="38"/>
      <c r="X19" s="38"/>
      <c r="Y19" s="365">
        <f t="shared" si="2"/>
        <v>20</v>
      </c>
      <c r="Z19" s="434"/>
      <c r="AA19" s="435"/>
      <c r="AB19" s="436"/>
      <c r="AC19" s="27">
        <f t="shared" si="3"/>
        <v>1.935483870967742</v>
      </c>
      <c r="AD19" s="16">
        <f t="shared" si="4"/>
        <v>60</v>
      </c>
    </row>
    <row r="20" spans="1:30" x14ac:dyDescent="0.25">
      <c r="A20" s="465"/>
      <c r="B20" s="53" t="s">
        <v>55</v>
      </c>
      <c r="C20" s="30" t="s">
        <v>60</v>
      </c>
      <c r="D20" s="33" t="s">
        <v>34</v>
      </c>
      <c r="E20" s="50" t="s">
        <v>59</v>
      </c>
      <c r="F20" s="31">
        <v>1</v>
      </c>
      <c r="G20" s="32" t="s">
        <v>36</v>
      </c>
      <c r="H20" s="428">
        <v>11</v>
      </c>
      <c r="I20" s="382">
        <v>1</v>
      </c>
      <c r="J20" s="429">
        <v>1</v>
      </c>
      <c r="K20" s="35" t="s">
        <v>37</v>
      </c>
      <c r="L20" s="435"/>
      <c r="M20" s="435"/>
      <c r="N20" s="435"/>
      <c r="O20" s="436"/>
      <c r="P20" s="364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11</v>
      </c>
      <c r="R20" s="34"/>
      <c r="S20" s="15">
        <f t="shared" si="1"/>
        <v>11</v>
      </c>
      <c r="T20" s="28">
        <f>IF(G20="",0,IF(ISERROR(R20+Q20*VLOOKUP(G20,Paramétrage!$D$6:$F$27,3,0))=TRUE,S20,R20+Q20*VLOOKUP(G20,Paramétrage!$D$6:$F$27,3,0)))</f>
        <v>11</v>
      </c>
      <c r="U20" s="38">
        <v>11</v>
      </c>
      <c r="V20" s="38"/>
      <c r="W20" s="38"/>
      <c r="X20" s="38"/>
      <c r="Y20" s="365">
        <f t="shared" si="2"/>
        <v>11</v>
      </c>
      <c r="Z20" s="434"/>
      <c r="AA20" s="435"/>
      <c r="AB20" s="436"/>
      <c r="AC20" s="27">
        <f t="shared" si="3"/>
        <v>0.35483870967741937</v>
      </c>
      <c r="AD20" s="16">
        <f t="shared" si="4"/>
        <v>11</v>
      </c>
    </row>
    <row r="21" spans="1:30" x14ac:dyDescent="0.25">
      <c r="A21" s="465"/>
      <c r="B21" s="53" t="s">
        <v>55</v>
      </c>
      <c r="C21" s="30" t="s">
        <v>61</v>
      </c>
      <c r="D21" s="33" t="s">
        <v>34</v>
      </c>
      <c r="E21" s="50" t="s">
        <v>59</v>
      </c>
      <c r="F21" s="31">
        <v>1</v>
      </c>
      <c r="G21" s="32" t="s">
        <v>36</v>
      </c>
      <c r="H21" s="42">
        <v>20</v>
      </c>
      <c r="I21" s="382">
        <v>5</v>
      </c>
      <c r="J21" s="429">
        <v>5</v>
      </c>
      <c r="K21" s="35" t="s">
        <v>37</v>
      </c>
      <c r="L21" s="435"/>
      <c r="M21" s="435"/>
      <c r="N21" s="435"/>
      <c r="O21" s="436"/>
      <c r="P21" s="364">
        <f>IF(OR(J21="",G21=Paramétrage!$D$9,G21=Paramétrage!$D$12,G21=Paramétrage!$D$15,G21=Paramétrage!$D$18,G21=Paramétrage!$D$22,G21=Paramétrage!$D$25,AND(G21&lt;&gt;Paramétrage!$D$9,K21="Mut+ext")),0,ROUNDUP(I21/J21,0))</f>
        <v>1</v>
      </c>
      <c r="Q21" s="17">
        <f>IF(OR(G21="",K21="Mut+ext"),0,IF(VLOOKUP(G21,Paramétrage!$D$6:$F$27,3,0)=0,0,IF(J21="","saisir capacité",H21*P21*VLOOKUP(G21,Paramétrage!$D$6:$F$27,2,0))))</f>
        <v>20</v>
      </c>
      <c r="R21" s="413"/>
      <c r="S21" s="15">
        <f t="shared" si="1"/>
        <v>20</v>
      </c>
      <c r="T21" s="28">
        <f>IF(G21="",0,IF(ISERROR(R21+Q21*VLOOKUP(G21,Paramétrage!$D$6:$F$27,3,0))=TRUE,S21,R21+Q21*VLOOKUP(G21,Paramétrage!$D$6:$F$27,3,0)))</f>
        <v>20</v>
      </c>
      <c r="U21" s="414">
        <v>20</v>
      </c>
      <c r="V21" s="410"/>
      <c r="W21" s="38"/>
      <c r="X21" s="38"/>
      <c r="Y21" s="365">
        <f t="shared" si="2"/>
        <v>20</v>
      </c>
      <c r="Z21" s="434"/>
      <c r="AA21" s="435"/>
      <c r="AB21" s="436"/>
      <c r="AC21" s="27">
        <f t="shared" si="3"/>
        <v>3.225806451612903</v>
      </c>
      <c r="AD21" s="16">
        <f t="shared" si="4"/>
        <v>100</v>
      </c>
    </row>
    <row r="22" spans="1:30" x14ac:dyDescent="0.25">
      <c r="A22" s="465"/>
      <c r="B22" s="53" t="s">
        <v>55</v>
      </c>
      <c r="C22" s="30" t="s">
        <v>62</v>
      </c>
      <c r="D22" s="33" t="s">
        <v>34</v>
      </c>
      <c r="E22" s="50" t="s">
        <v>59</v>
      </c>
      <c r="F22" s="31">
        <v>1</v>
      </c>
      <c r="G22" s="32" t="s">
        <v>36</v>
      </c>
      <c r="H22" s="42">
        <v>20</v>
      </c>
      <c r="I22" s="382">
        <v>13</v>
      </c>
      <c r="J22" s="429">
        <v>13</v>
      </c>
      <c r="K22" s="35" t="s">
        <v>37</v>
      </c>
      <c r="L22" s="435"/>
      <c r="M22" s="435"/>
      <c r="N22" s="435"/>
      <c r="O22" s="436"/>
      <c r="P22" s="364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7">
        <f>IF(OR(G22="",K22="Mut+ext"),0,IF(VLOOKUP(G22,Paramétrage!$D$6:$F$27,3,0)=0,0,IF(J22="","saisir capacité",H22*P22*VLOOKUP(G22,Paramétrage!$D$6:$F$27,2,0))))</f>
        <v>20</v>
      </c>
      <c r="R22" s="34"/>
      <c r="S22" s="15">
        <f t="shared" si="1"/>
        <v>20</v>
      </c>
      <c r="T22" s="28">
        <f>IF(G22="",0,IF(ISERROR(R22+Q22*VLOOKUP(G22,Paramétrage!$D$6:$F$27,3,0))=TRUE,S22,R22+Q22*VLOOKUP(G22,Paramétrage!$D$6:$F$27,3,0)))</f>
        <v>20</v>
      </c>
      <c r="U22" s="38">
        <v>20</v>
      </c>
      <c r="V22" s="38"/>
      <c r="W22" s="38"/>
      <c r="X22" s="38"/>
      <c r="Y22" s="365">
        <f t="shared" si="2"/>
        <v>20</v>
      </c>
      <c r="Z22" s="434"/>
      <c r="AA22" s="435"/>
      <c r="AB22" s="436"/>
      <c r="AC22" s="27">
        <f t="shared" si="3"/>
        <v>8.387096774193548</v>
      </c>
      <c r="AD22" s="16">
        <f t="shared" si="4"/>
        <v>260</v>
      </c>
    </row>
    <row r="23" spans="1:30" x14ac:dyDescent="0.25">
      <c r="A23" s="465"/>
      <c r="B23" s="53" t="s">
        <v>55</v>
      </c>
      <c r="C23" s="30" t="s">
        <v>63</v>
      </c>
      <c r="D23" s="33" t="s">
        <v>34</v>
      </c>
      <c r="E23" s="50" t="s">
        <v>59</v>
      </c>
      <c r="F23" s="31">
        <v>1</v>
      </c>
      <c r="G23" s="32" t="s">
        <v>36</v>
      </c>
      <c r="H23" s="42">
        <v>20</v>
      </c>
      <c r="I23" s="38">
        <v>8</v>
      </c>
      <c r="J23" s="429">
        <v>8</v>
      </c>
      <c r="K23" s="35" t="s">
        <v>37</v>
      </c>
      <c r="L23" s="435"/>
      <c r="M23" s="435"/>
      <c r="N23" s="435"/>
      <c r="O23" s="436"/>
      <c r="P23" s="364">
        <f>IF(OR(J23="",G23=Paramétrage!$D$9,G23=Paramétrage!$D$12,G23=Paramétrage!$D$15,G23=Paramétrage!$D$18,G23=Paramétrage!$D$22,G23=Paramétrage!$D$25,AND(G23&lt;&gt;Paramétrage!$D$9,K23="Mut+ext")),0,ROUNDUP(I23/J23,0))</f>
        <v>1</v>
      </c>
      <c r="Q23" s="17">
        <f>IF(OR(G23="",K23="Mut+ext"),0,IF(VLOOKUP(G23,Paramétrage!$D$6:$F$27,3,0)=0,0,IF(J23="","saisir capacité",H23*P23*VLOOKUP(G23,Paramétrage!$D$6:$F$27,2,0))))</f>
        <v>20</v>
      </c>
      <c r="R23" s="34"/>
      <c r="S23" s="15">
        <f t="shared" si="1"/>
        <v>20</v>
      </c>
      <c r="T23" s="28">
        <f>IF(G23="",0,IF(ISERROR(R23+Q23*VLOOKUP(G23,Paramétrage!$D$6:$F$27,3,0))=TRUE,S23,R23+Q23*VLOOKUP(G23,Paramétrage!$D$6:$F$27,3,0)))</f>
        <v>20</v>
      </c>
      <c r="U23" s="38">
        <v>20</v>
      </c>
      <c r="V23" s="38"/>
      <c r="W23" s="38"/>
      <c r="X23" s="38"/>
      <c r="Y23" s="365">
        <f t="shared" si="2"/>
        <v>20</v>
      </c>
      <c r="Z23" s="434"/>
      <c r="AA23" s="435"/>
      <c r="AB23" s="436"/>
      <c r="AC23" s="27">
        <f t="shared" si="3"/>
        <v>5.161290322580645</v>
      </c>
      <c r="AD23" s="16">
        <f t="shared" si="4"/>
        <v>160</v>
      </c>
    </row>
    <row r="24" spans="1:30" ht="15.65" customHeight="1" x14ac:dyDescent="0.25">
      <c r="A24" s="465"/>
      <c r="B24" s="53" t="s">
        <v>55</v>
      </c>
      <c r="C24" s="33" t="s">
        <v>64</v>
      </c>
      <c r="D24" s="33" t="s">
        <v>34</v>
      </c>
      <c r="E24" s="50" t="s">
        <v>59</v>
      </c>
      <c r="F24" s="31">
        <v>1</v>
      </c>
      <c r="G24" s="430" t="s">
        <v>36</v>
      </c>
      <c r="H24" s="428">
        <v>11</v>
      </c>
      <c r="I24" s="38">
        <v>1</v>
      </c>
      <c r="J24" s="429">
        <v>1</v>
      </c>
      <c r="K24" s="35" t="s">
        <v>37</v>
      </c>
      <c r="L24" s="435"/>
      <c r="M24" s="435"/>
      <c r="N24" s="435"/>
      <c r="O24" s="436"/>
      <c r="P24" s="364">
        <f>IF(OR(J24="",G24=Paramétrage!$D$9,G24=Paramétrage!$D$12,G24=Paramétrage!$D$15,G24=Paramétrage!$D$18,G24=Paramétrage!$D$22,G24=Paramétrage!$D$25,AND(G24&lt;&gt;Paramétrage!$D$9,K24="Mut+ext")),0,ROUNDUP(I24/J24,0))</f>
        <v>1</v>
      </c>
      <c r="Q24" s="17">
        <f>IF(OR(G24="",K24="Mut+ext"),0,IF(VLOOKUP(G24,Paramétrage!$D$6:$F$27,3,0)=0,0,IF(J24="","saisir capacité",H24*P24*VLOOKUP(G24,Paramétrage!$D$6:$F$27,2,0))))</f>
        <v>11</v>
      </c>
      <c r="R24" s="425">
        <v>0</v>
      </c>
      <c r="S24" s="15">
        <f t="shared" si="1"/>
        <v>11</v>
      </c>
      <c r="T24" s="28">
        <f>IF(G24="",0,IF(ISERROR(R24+Q24*VLOOKUP(G24,Paramétrage!$D$6:$F$27,3,0))=TRUE,S24,R24+Q24*VLOOKUP(G24,Paramétrage!$D$6:$F$27,3,0)))</f>
        <v>11</v>
      </c>
      <c r="U24" s="38">
        <v>11</v>
      </c>
      <c r="V24" s="38"/>
      <c r="W24" s="38"/>
      <c r="X24" s="38"/>
      <c r="Y24" s="365">
        <f t="shared" si="2"/>
        <v>11</v>
      </c>
      <c r="Z24" s="434"/>
      <c r="AA24" s="435"/>
      <c r="AB24" s="436"/>
      <c r="AC24" s="27">
        <f t="shared" si="3"/>
        <v>0.35483870967741937</v>
      </c>
      <c r="AD24" s="16">
        <f t="shared" ref="AD24:AD29" si="6">H24*I24</f>
        <v>11</v>
      </c>
    </row>
    <row r="25" spans="1:30" x14ac:dyDescent="0.25">
      <c r="A25" s="465"/>
      <c r="B25" s="53" t="s">
        <v>57</v>
      </c>
      <c r="C25" s="424" t="s">
        <v>295</v>
      </c>
      <c r="D25" s="33" t="s">
        <v>34</v>
      </c>
      <c r="E25" s="50" t="s">
        <v>35</v>
      </c>
      <c r="F25" s="31"/>
      <c r="G25" s="32" t="s">
        <v>36</v>
      </c>
      <c r="H25" s="428">
        <v>0</v>
      </c>
      <c r="I25" s="40">
        <v>31</v>
      </c>
      <c r="J25" s="46">
        <v>31</v>
      </c>
      <c r="K25" s="35"/>
      <c r="L25" s="435" t="s">
        <v>296</v>
      </c>
      <c r="M25" s="435"/>
      <c r="N25" s="435"/>
      <c r="O25" s="436"/>
      <c r="P25" s="364">
        <f>IF(OR(J25="",G25=Paramétrage!$D$9,G25=Paramétrage!$D$12,G25=Paramétrage!$D$15,G25=Paramétrage!$D$18,G25=Paramétrage!$D$22,G25=Paramétrage!$D$25,AND(G25&lt;&gt;Paramétrage!$D$9,K25="Mut+ext")),0,ROUNDUP(I25/J25,0))</f>
        <v>1</v>
      </c>
      <c r="Q25" s="17">
        <f>IF(OR(G25="",K25="Mut+ext"),0,IF(VLOOKUP(G25,Paramétrage!$D$6:$F$27,3,0)=0,0,IF(J25="","saisir capacité",H25*P25*VLOOKUP(G25,Paramétrage!$D$6:$F$27,2,0))))</f>
        <v>0</v>
      </c>
      <c r="R25" s="34"/>
      <c r="S25" s="15">
        <f t="shared" si="1"/>
        <v>0</v>
      </c>
      <c r="T25" s="28">
        <f>IF(G25="",0,IF(ISERROR(R25+Q25*VLOOKUP(G25,Paramétrage!$D$6:$F$27,3,0))=TRUE,S25,R25+Q25*VLOOKUP(G25,Paramétrage!$D$6:$F$27,3,0)))</f>
        <v>0</v>
      </c>
      <c r="U25" s="38"/>
      <c r="V25" s="40"/>
      <c r="W25" s="40"/>
      <c r="X25" s="40"/>
      <c r="Y25" s="365">
        <f t="shared" si="2"/>
        <v>0</v>
      </c>
      <c r="Z25" s="434"/>
      <c r="AA25" s="435"/>
      <c r="AB25" s="436"/>
      <c r="AC25" s="27">
        <f t="shared" si="3"/>
        <v>0</v>
      </c>
      <c r="AD25" s="16">
        <f t="shared" si="6"/>
        <v>0</v>
      </c>
    </row>
    <row r="26" spans="1:30" ht="16" thickBot="1" x14ac:dyDescent="0.3">
      <c r="A26" s="465"/>
      <c r="B26" s="53" t="s">
        <v>66</v>
      </c>
      <c r="C26" s="33" t="s">
        <v>67</v>
      </c>
      <c r="D26" s="33" t="s">
        <v>68</v>
      </c>
      <c r="E26" s="50" t="s">
        <v>35</v>
      </c>
      <c r="F26" s="31"/>
      <c r="G26" s="32" t="s">
        <v>69</v>
      </c>
      <c r="H26" s="42">
        <v>20</v>
      </c>
      <c r="I26" s="39">
        <v>3</v>
      </c>
      <c r="J26" s="429">
        <v>22</v>
      </c>
      <c r="K26" s="35" t="s">
        <v>37</v>
      </c>
      <c r="L26" s="435"/>
      <c r="M26" s="435"/>
      <c r="N26" s="435"/>
      <c r="O26" s="436"/>
      <c r="P26" s="364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4">
        <v>15</v>
      </c>
      <c r="S26" s="15">
        <f t="shared" si="1"/>
        <v>15</v>
      </c>
      <c r="T26" s="28">
        <f>IF(G26="",0,IF(ISERROR(R26+Q26*VLOOKUP(G26,Paramétrage!$D$6:$F$27,3,0))=TRUE,S26,R26+Q26*VLOOKUP(G26,Paramétrage!$D$6:$F$27,3,0)))</f>
        <v>15</v>
      </c>
      <c r="U26" s="38"/>
      <c r="V26" s="39">
        <v>7</v>
      </c>
      <c r="W26" s="39"/>
      <c r="X26" s="39">
        <v>8</v>
      </c>
      <c r="Y26" s="365">
        <f t="shared" si="2"/>
        <v>15</v>
      </c>
      <c r="Z26" s="434"/>
      <c r="AA26" s="435"/>
      <c r="AB26" s="436"/>
      <c r="AC26" s="27">
        <f t="shared" si="3"/>
        <v>20</v>
      </c>
      <c r="AD26" s="16">
        <f t="shared" si="6"/>
        <v>60</v>
      </c>
    </row>
    <row r="27" spans="1:30" ht="16" hidden="1" thickBot="1" x14ac:dyDescent="0.3">
      <c r="A27" s="465"/>
      <c r="B27" s="53"/>
      <c r="C27" s="30"/>
      <c r="D27" s="30"/>
      <c r="E27" s="386"/>
      <c r="F27" s="31"/>
      <c r="G27" s="32"/>
      <c r="H27" s="426"/>
      <c r="I27" s="39"/>
      <c r="J27" s="429"/>
      <c r="K27" s="35"/>
      <c r="L27" s="435"/>
      <c r="M27" s="435"/>
      <c r="N27" s="435"/>
      <c r="O27" s="436"/>
      <c r="P27" s="364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82"/>
      <c r="S27" s="383">
        <f t="shared" si="1"/>
        <v>0</v>
      </c>
      <c r="T27" s="384">
        <f>IF(G27="",0,IF(ISERROR(R27+Q27*VLOOKUP(G27,Paramétrage!$D$6:$F$27,3,0))=TRUE,S27,R27+Q27*VLOOKUP(G27,Paramétrage!$D$6:$F$27,3,0)))</f>
        <v>0</v>
      </c>
      <c r="U27" s="39"/>
      <c r="V27" s="39"/>
      <c r="W27" s="39"/>
      <c r="X27" s="39"/>
      <c r="Y27" s="385">
        <f t="shared" si="2"/>
        <v>0</v>
      </c>
      <c r="Z27" s="434"/>
      <c r="AA27" s="435"/>
      <c r="AB27" s="436"/>
      <c r="AC27" s="27">
        <f t="shared" si="3"/>
        <v>0</v>
      </c>
      <c r="AD27" s="16">
        <f t="shared" si="6"/>
        <v>0</v>
      </c>
    </row>
    <row r="28" spans="1:30" ht="15.65" customHeight="1" x14ac:dyDescent="0.25">
      <c r="A28" s="465"/>
      <c r="B28" s="53" t="s">
        <v>72</v>
      </c>
      <c r="C28" s="30" t="s">
        <v>302</v>
      </c>
      <c r="D28" s="403" t="s">
        <v>68</v>
      </c>
      <c r="E28" s="376" t="s">
        <v>35</v>
      </c>
      <c r="F28" s="377"/>
      <c r="G28" s="378" t="s">
        <v>65</v>
      </c>
      <c r="H28" s="431">
        <v>20</v>
      </c>
      <c r="I28" s="38">
        <v>3</v>
      </c>
      <c r="J28" s="432">
        <v>22</v>
      </c>
      <c r="K28" s="381" t="s">
        <v>37</v>
      </c>
      <c r="L28" s="444"/>
      <c r="M28" s="444"/>
      <c r="N28" s="444"/>
      <c r="O28" s="445"/>
      <c r="P28" s="374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75">
        <v>13</v>
      </c>
      <c r="S28" s="15">
        <f t="shared" si="1"/>
        <v>13</v>
      </c>
      <c r="T28" s="28">
        <f>IF(G28="",0,IF(ISERROR(R28+Q28*VLOOKUP(G28,Paramétrage!$D$6:$F$27,3,0))=TRUE,S28,R28+Q28*VLOOKUP(G28,Paramétrage!$D$6:$F$27,3,0)))</f>
        <v>13</v>
      </c>
      <c r="U28" s="38"/>
      <c r="V28" s="38">
        <v>7</v>
      </c>
      <c r="W28" s="38"/>
      <c r="X28" s="38">
        <v>6</v>
      </c>
      <c r="Y28" s="365">
        <f>SUM(U28:X28)</f>
        <v>13</v>
      </c>
      <c r="Z28" s="443"/>
      <c r="AA28" s="444"/>
      <c r="AB28" s="445"/>
      <c r="AC28" s="27">
        <f t="shared" si="3"/>
        <v>20</v>
      </c>
      <c r="AD28" s="60">
        <f t="shared" si="6"/>
        <v>60</v>
      </c>
    </row>
    <row r="29" spans="1:30" x14ac:dyDescent="0.25">
      <c r="A29" s="465"/>
      <c r="B29" s="53"/>
      <c r="C29" s="30"/>
      <c r="D29" s="33"/>
      <c r="E29" s="50"/>
      <c r="F29" s="31"/>
      <c r="G29" s="32"/>
      <c r="H29" s="42"/>
      <c r="I29" s="38"/>
      <c r="J29" s="46"/>
      <c r="K29" s="35"/>
      <c r="L29" s="435"/>
      <c r="M29" s="435"/>
      <c r="N29" s="435"/>
      <c r="O29" s="436"/>
      <c r="P29" s="364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4"/>
      <c r="S29" s="15">
        <f t="shared" si="1"/>
        <v>0</v>
      </c>
      <c r="T29" s="28">
        <f>IF(G29="",0,IF(ISERROR(R29+Q29*VLOOKUP(G29,Paramétrage!$D$6:$F$27,3,0))=TRUE,S29,R29+Q29*VLOOKUP(G29,Paramétrage!$D$6:$F$27,3,0)))</f>
        <v>0</v>
      </c>
      <c r="U29" s="38"/>
      <c r="V29" s="38"/>
      <c r="W29" s="38"/>
      <c r="X29" s="38"/>
      <c r="Y29" s="365">
        <f t="shared" ref="Y29:Y47" si="7">SUM(U29:X29)</f>
        <v>0</v>
      </c>
      <c r="Z29" s="434"/>
      <c r="AA29" s="435"/>
      <c r="AB29" s="436"/>
      <c r="AC29" s="27">
        <f t="shared" si="3"/>
        <v>0</v>
      </c>
      <c r="AD29" s="16">
        <f t="shared" si="6"/>
        <v>0</v>
      </c>
    </row>
    <row r="30" spans="1:30" hidden="1" x14ac:dyDescent="0.25">
      <c r="A30" s="465"/>
      <c r="B30" s="53"/>
      <c r="C30" s="30"/>
      <c r="D30" s="33"/>
      <c r="E30" s="50"/>
      <c r="F30" s="31"/>
      <c r="G30" s="32"/>
      <c r="H30" s="42"/>
      <c r="I30" s="38"/>
      <c r="J30" s="46"/>
      <c r="K30" s="35"/>
      <c r="L30" s="435"/>
      <c r="M30" s="435"/>
      <c r="N30" s="435"/>
      <c r="O30" s="436"/>
      <c r="P30" s="364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4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8"/>
      <c r="V30" s="38"/>
      <c r="W30" s="38"/>
      <c r="X30" s="38"/>
      <c r="Y30" s="365">
        <f t="shared" si="7"/>
        <v>0</v>
      </c>
      <c r="Z30" s="434"/>
      <c r="AA30" s="435"/>
      <c r="AB30" s="436"/>
      <c r="AC30" s="27">
        <f t="shared" si="3"/>
        <v>0</v>
      </c>
      <c r="AD30" s="16">
        <f t="shared" ref="AD30:AD41" si="8">H30*I30</f>
        <v>0</v>
      </c>
    </row>
    <row r="31" spans="1:30" hidden="1" x14ac:dyDescent="0.25">
      <c r="A31" s="465"/>
      <c r="B31" s="53"/>
      <c r="C31" s="30"/>
      <c r="D31" s="33"/>
      <c r="E31" s="50"/>
      <c r="F31" s="31"/>
      <c r="G31" s="32"/>
      <c r="H31" s="42"/>
      <c r="I31" s="38"/>
      <c r="J31" s="46"/>
      <c r="K31" s="35"/>
      <c r="L31" s="435"/>
      <c r="M31" s="435"/>
      <c r="N31" s="435"/>
      <c r="O31" s="436"/>
      <c r="P31" s="364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4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8"/>
      <c r="V31" s="38"/>
      <c r="W31" s="38"/>
      <c r="X31" s="38"/>
      <c r="Y31" s="365">
        <f t="shared" si="7"/>
        <v>0</v>
      </c>
      <c r="Z31" s="434"/>
      <c r="AA31" s="435"/>
      <c r="AB31" s="436"/>
      <c r="AC31" s="27">
        <f t="shared" si="3"/>
        <v>0</v>
      </c>
      <c r="AD31" s="16">
        <f t="shared" ref="AD31:AD37" si="9">H31*I31</f>
        <v>0</v>
      </c>
    </row>
    <row r="32" spans="1:30" hidden="1" x14ac:dyDescent="0.25">
      <c r="A32" s="465"/>
      <c r="B32" s="53"/>
      <c r="C32" s="30"/>
      <c r="D32" s="33"/>
      <c r="E32" s="50"/>
      <c r="F32" s="31"/>
      <c r="G32" s="32"/>
      <c r="H32" s="42"/>
      <c r="I32" s="38"/>
      <c r="J32" s="46"/>
      <c r="K32" s="35"/>
      <c r="L32" s="435"/>
      <c r="M32" s="435"/>
      <c r="N32" s="435"/>
      <c r="O32" s="436"/>
      <c r="P32" s="364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4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8"/>
      <c r="V32" s="38"/>
      <c r="W32" s="38"/>
      <c r="X32" s="38"/>
      <c r="Y32" s="365">
        <f t="shared" si="7"/>
        <v>0</v>
      </c>
      <c r="Z32" s="434"/>
      <c r="AA32" s="435"/>
      <c r="AB32" s="436"/>
      <c r="AC32" s="27">
        <f t="shared" si="3"/>
        <v>0</v>
      </c>
      <c r="AD32" s="16">
        <f t="shared" si="9"/>
        <v>0</v>
      </c>
    </row>
    <row r="33" spans="1:30" hidden="1" x14ac:dyDescent="0.25">
      <c r="A33" s="465"/>
      <c r="B33" s="53"/>
      <c r="C33" s="30"/>
      <c r="D33" s="30"/>
      <c r="E33" s="50"/>
      <c r="F33" s="31"/>
      <c r="G33" s="32"/>
      <c r="H33" s="42"/>
      <c r="I33" s="38"/>
      <c r="J33" s="46"/>
      <c r="K33" s="35"/>
      <c r="L33" s="435"/>
      <c r="M33" s="435"/>
      <c r="N33" s="435"/>
      <c r="O33" s="436"/>
      <c r="P33" s="364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4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65">
        <f t="shared" si="7"/>
        <v>0</v>
      </c>
      <c r="Z33" s="434"/>
      <c r="AA33" s="435"/>
      <c r="AB33" s="436"/>
      <c r="AC33" s="27">
        <f t="shared" si="3"/>
        <v>0</v>
      </c>
      <c r="AD33" s="16">
        <f t="shared" ref="AD33:AD34" si="10">H33*I33</f>
        <v>0</v>
      </c>
    </row>
    <row r="34" spans="1:30" hidden="1" x14ac:dyDescent="0.25">
      <c r="A34" s="465"/>
      <c r="B34" s="53"/>
      <c r="C34" s="30"/>
      <c r="D34" s="50"/>
      <c r="E34" s="33"/>
      <c r="F34" s="31"/>
      <c r="G34" s="32"/>
      <c r="H34" s="42"/>
      <c r="I34" s="38"/>
      <c r="J34" s="46"/>
      <c r="K34" s="35"/>
      <c r="L34" s="435"/>
      <c r="M34" s="435"/>
      <c r="N34" s="435"/>
      <c r="O34" s="436"/>
      <c r="P34" s="364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4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8"/>
      <c r="V34" s="38"/>
      <c r="W34" s="38"/>
      <c r="X34" s="38"/>
      <c r="Y34" s="365">
        <f t="shared" si="7"/>
        <v>0</v>
      </c>
      <c r="Z34" s="434"/>
      <c r="AA34" s="435"/>
      <c r="AB34" s="436"/>
      <c r="AC34" s="27">
        <f t="shared" si="3"/>
        <v>0</v>
      </c>
      <c r="AD34" s="16">
        <f t="shared" si="10"/>
        <v>0</v>
      </c>
    </row>
    <row r="35" spans="1:30" hidden="1" x14ac:dyDescent="0.25">
      <c r="A35" s="465"/>
      <c r="B35" s="53"/>
      <c r="C35" s="30"/>
      <c r="D35" s="50"/>
      <c r="E35" s="33"/>
      <c r="F35" s="31"/>
      <c r="G35" s="32"/>
      <c r="H35" s="42"/>
      <c r="I35" s="38"/>
      <c r="J35" s="46"/>
      <c r="K35" s="35"/>
      <c r="L35" s="435"/>
      <c r="M35" s="435"/>
      <c r="N35" s="435"/>
      <c r="O35" s="436"/>
      <c r="P35" s="364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4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8"/>
      <c r="V35" s="38"/>
      <c r="W35" s="38"/>
      <c r="X35" s="38"/>
      <c r="Y35" s="365">
        <f t="shared" si="7"/>
        <v>0</v>
      </c>
      <c r="Z35" s="434"/>
      <c r="AA35" s="435"/>
      <c r="AB35" s="436"/>
      <c r="AC35" s="27">
        <f t="shared" si="3"/>
        <v>0</v>
      </c>
      <c r="AD35" s="16">
        <f t="shared" si="9"/>
        <v>0</v>
      </c>
    </row>
    <row r="36" spans="1:30" hidden="1" x14ac:dyDescent="0.25">
      <c r="A36" s="465"/>
      <c r="B36" s="53"/>
      <c r="C36" s="30"/>
      <c r="D36" s="50"/>
      <c r="E36" s="33"/>
      <c r="F36" s="31"/>
      <c r="G36" s="32"/>
      <c r="H36" s="42"/>
      <c r="I36" s="38"/>
      <c r="J36" s="46"/>
      <c r="K36" s="35"/>
      <c r="L36" s="435"/>
      <c r="M36" s="435"/>
      <c r="N36" s="435"/>
      <c r="O36" s="436"/>
      <c r="P36" s="364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4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8"/>
      <c r="V36" s="38"/>
      <c r="W36" s="38"/>
      <c r="X36" s="38"/>
      <c r="Y36" s="365">
        <f t="shared" si="7"/>
        <v>0</v>
      </c>
      <c r="Z36" s="434"/>
      <c r="AA36" s="435"/>
      <c r="AB36" s="436"/>
      <c r="AC36" s="27">
        <f t="shared" si="3"/>
        <v>0</v>
      </c>
      <c r="AD36" s="16">
        <f t="shared" si="9"/>
        <v>0</v>
      </c>
    </row>
    <row r="37" spans="1:30" hidden="1" x14ac:dyDescent="0.25">
      <c r="A37" s="465"/>
      <c r="B37" s="53"/>
      <c r="C37" s="30"/>
      <c r="D37" s="50"/>
      <c r="E37" s="33"/>
      <c r="F37" s="31"/>
      <c r="G37" s="32"/>
      <c r="H37" s="42"/>
      <c r="I37" s="38"/>
      <c r="J37" s="46"/>
      <c r="K37" s="35"/>
      <c r="L37" s="435"/>
      <c r="M37" s="435"/>
      <c r="N37" s="435"/>
      <c r="O37" s="436"/>
      <c r="P37" s="364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4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8"/>
      <c r="V37" s="38"/>
      <c r="W37" s="38"/>
      <c r="X37" s="38"/>
      <c r="Y37" s="365">
        <f t="shared" si="7"/>
        <v>0</v>
      </c>
      <c r="Z37" s="434"/>
      <c r="AA37" s="435"/>
      <c r="AB37" s="436"/>
      <c r="AC37" s="27">
        <f t="shared" si="3"/>
        <v>0</v>
      </c>
      <c r="AD37" s="16">
        <f t="shared" si="9"/>
        <v>0</v>
      </c>
    </row>
    <row r="38" spans="1:30" hidden="1" x14ac:dyDescent="0.25">
      <c r="A38" s="465"/>
      <c r="B38" s="53"/>
      <c r="C38" s="30"/>
      <c r="D38" s="50"/>
      <c r="E38" s="33"/>
      <c r="F38" s="31"/>
      <c r="G38" s="32"/>
      <c r="H38" s="42"/>
      <c r="I38" s="38"/>
      <c r="J38" s="46"/>
      <c r="K38" s="35"/>
      <c r="L38" s="435"/>
      <c r="M38" s="435"/>
      <c r="N38" s="435"/>
      <c r="O38" s="436"/>
      <c r="P38" s="364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4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8"/>
      <c r="V38" s="38"/>
      <c r="W38" s="38"/>
      <c r="X38" s="38"/>
      <c r="Y38" s="365">
        <f t="shared" si="7"/>
        <v>0</v>
      </c>
      <c r="Z38" s="434"/>
      <c r="AA38" s="435"/>
      <c r="AB38" s="436"/>
      <c r="AC38" s="27">
        <f t="shared" si="3"/>
        <v>0</v>
      </c>
      <c r="AD38" s="16">
        <f t="shared" si="8"/>
        <v>0</v>
      </c>
    </row>
    <row r="39" spans="1:30" hidden="1" x14ac:dyDescent="0.25">
      <c r="A39" s="465"/>
      <c r="B39" s="53"/>
      <c r="C39" s="30"/>
      <c r="D39" s="50"/>
      <c r="E39" s="33"/>
      <c r="F39" s="31"/>
      <c r="G39" s="32"/>
      <c r="H39" s="42"/>
      <c r="I39" s="38"/>
      <c r="J39" s="46"/>
      <c r="K39" s="35"/>
      <c r="L39" s="435"/>
      <c r="M39" s="435"/>
      <c r="N39" s="435"/>
      <c r="O39" s="436"/>
      <c r="P39" s="364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4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8"/>
      <c r="V39" s="38"/>
      <c r="W39" s="38"/>
      <c r="X39" s="38"/>
      <c r="Y39" s="365">
        <f t="shared" si="7"/>
        <v>0</v>
      </c>
      <c r="Z39" s="434"/>
      <c r="AA39" s="435"/>
      <c r="AB39" s="436"/>
      <c r="AC39" s="27">
        <f t="shared" si="3"/>
        <v>0</v>
      </c>
      <c r="AD39" s="16">
        <f t="shared" si="8"/>
        <v>0</v>
      </c>
    </row>
    <row r="40" spans="1:30" hidden="1" x14ac:dyDescent="0.25">
      <c r="A40" s="465"/>
      <c r="B40" s="53"/>
      <c r="C40" s="30"/>
      <c r="D40" s="50"/>
      <c r="E40" s="33"/>
      <c r="F40" s="31"/>
      <c r="G40" s="32"/>
      <c r="H40" s="42"/>
      <c r="I40" s="38"/>
      <c r="J40" s="46"/>
      <c r="K40" s="35"/>
      <c r="L40" s="435"/>
      <c r="M40" s="435"/>
      <c r="N40" s="435"/>
      <c r="O40" s="436"/>
      <c r="P40" s="364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4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8"/>
      <c r="V40" s="38"/>
      <c r="W40" s="38"/>
      <c r="X40" s="38"/>
      <c r="Y40" s="365">
        <f t="shared" si="7"/>
        <v>0</v>
      </c>
      <c r="Z40" s="434"/>
      <c r="AA40" s="435"/>
      <c r="AB40" s="436"/>
      <c r="AC40" s="27">
        <f t="shared" si="3"/>
        <v>0</v>
      </c>
      <c r="AD40" s="16">
        <f t="shared" si="8"/>
        <v>0</v>
      </c>
    </row>
    <row r="41" spans="1:30" hidden="1" x14ac:dyDescent="0.25">
      <c r="A41" s="465"/>
      <c r="B41" s="53"/>
      <c r="C41" s="30"/>
      <c r="D41" s="50"/>
      <c r="E41" s="33"/>
      <c r="F41" s="31"/>
      <c r="G41" s="32"/>
      <c r="H41" s="42"/>
      <c r="I41" s="38"/>
      <c r="J41" s="46"/>
      <c r="K41" s="35"/>
      <c r="L41" s="435"/>
      <c r="M41" s="435"/>
      <c r="N41" s="435"/>
      <c r="O41" s="436"/>
      <c r="P41" s="364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4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8"/>
      <c r="V41" s="38"/>
      <c r="W41" s="38"/>
      <c r="X41" s="38"/>
      <c r="Y41" s="365">
        <f t="shared" si="7"/>
        <v>0</v>
      </c>
      <c r="Z41" s="434"/>
      <c r="AA41" s="435"/>
      <c r="AB41" s="436"/>
      <c r="AC41" s="27">
        <f t="shared" si="3"/>
        <v>0</v>
      </c>
      <c r="AD41" s="16">
        <f t="shared" si="8"/>
        <v>0</v>
      </c>
    </row>
    <row r="42" spans="1:30" hidden="1" x14ac:dyDescent="0.25">
      <c r="A42" s="465"/>
      <c r="B42" s="53"/>
      <c r="C42" s="30"/>
      <c r="D42" s="50"/>
      <c r="E42" s="33"/>
      <c r="F42" s="31"/>
      <c r="G42" s="32"/>
      <c r="H42" s="42"/>
      <c r="I42" s="38"/>
      <c r="J42" s="46"/>
      <c r="K42" s="35"/>
      <c r="L42" s="435"/>
      <c r="M42" s="435"/>
      <c r="N42" s="435"/>
      <c r="O42" s="436"/>
      <c r="P42" s="364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4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8"/>
      <c r="V42" s="38"/>
      <c r="W42" s="38"/>
      <c r="X42" s="38"/>
      <c r="Y42" s="365">
        <f t="shared" si="7"/>
        <v>0</v>
      </c>
      <c r="Z42" s="434"/>
      <c r="AA42" s="435"/>
      <c r="AB42" s="436"/>
      <c r="AC42" s="27">
        <f t="shared" si="3"/>
        <v>0</v>
      </c>
      <c r="AD42" s="16">
        <f t="shared" ref="AD42:AD47" si="11">H42*I42</f>
        <v>0</v>
      </c>
    </row>
    <row r="43" spans="1:30" hidden="1" x14ac:dyDescent="0.25">
      <c r="A43" s="465"/>
      <c r="B43" s="54"/>
      <c r="C43" s="30"/>
      <c r="D43" s="50"/>
      <c r="E43" s="33"/>
      <c r="F43" s="31"/>
      <c r="G43" s="32"/>
      <c r="H43" s="42"/>
      <c r="I43" s="38"/>
      <c r="J43" s="46"/>
      <c r="K43" s="35"/>
      <c r="L43" s="435"/>
      <c r="M43" s="435"/>
      <c r="N43" s="435"/>
      <c r="O43" s="436"/>
      <c r="P43" s="364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4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8"/>
      <c r="V43" s="38"/>
      <c r="W43" s="38"/>
      <c r="X43" s="38"/>
      <c r="Y43" s="365">
        <f t="shared" si="7"/>
        <v>0</v>
      </c>
      <c r="Z43" s="434"/>
      <c r="AA43" s="435"/>
      <c r="AB43" s="436"/>
      <c r="AC43" s="27">
        <f t="shared" si="3"/>
        <v>0</v>
      </c>
      <c r="AD43" s="16">
        <f t="shared" si="11"/>
        <v>0</v>
      </c>
    </row>
    <row r="44" spans="1:30" hidden="1" x14ac:dyDescent="0.25">
      <c r="A44" s="465"/>
      <c r="B44" s="53"/>
      <c r="C44" s="30"/>
      <c r="D44" s="50"/>
      <c r="E44" s="33"/>
      <c r="F44" s="31"/>
      <c r="G44" s="32"/>
      <c r="H44" s="42"/>
      <c r="I44" s="38"/>
      <c r="J44" s="46"/>
      <c r="K44" s="35"/>
      <c r="L44" s="435"/>
      <c r="M44" s="435"/>
      <c r="N44" s="435"/>
      <c r="O44" s="436"/>
      <c r="P44" s="364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4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8"/>
      <c r="V44" s="38"/>
      <c r="W44" s="38"/>
      <c r="X44" s="38"/>
      <c r="Y44" s="365">
        <f t="shared" si="7"/>
        <v>0</v>
      </c>
      <c r="Z44" s="434"/>
      <c r="AA44" s="435"/>
      <c r="AB44" s="436"/>
      <c r="AC44" s="27">
        <f t="shared" si="3"/>
        <v>0</v>
      </c>
      <c r="AD44" s="16">
        <f t="shared" si="11"/>
        <v>0</v>
      </c>
    </row>
    <row r="45" spans="1:30" hidden="1" x14ac:dyDescent="0.25">
      <c r="A45" s="465"/>
      <c r="B45" s="53"/>
      <c r="C45" s="30"/>
      <c r="D45" s="50"/>
      <c r="E45" s="33"/>
      <c r="F45" s="31"/>
      <c r="G45" s="32"/>
      <c r="H45" s="42"/>
      <c r="I45" s="38"/>
      <c r="J45" s="46"/>
      <c r="K45" s="35"/>
      <c r="L45" s="435"/>
      <c r="M45" s="435"/>
      <c r="N45" s="435"/>
      <c r="O45" s="436"/>
      <c r="P45" s="364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4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40"/>
      <c r="V45" s="40"/>
      <c r="W45" s="40"/>
      <c r="X45" s="40"/>
      <c r="Y45" s="365">
        <f t="shared" si="7"/>
        <v>0</v>
      </c>
      <c r="Z45" s="434"/>
      <c r="AA45" s="435"/>
      <c r="AB45" s="436"/>
      <c r="AC45" s="27">
        <f t="shared" si="3"/>
        <v>0</v>
      </c>
      <c r="AD45" s="16">
        <f t="shared" si="11"/>
        <v>0</v>
      </c>
    </row>
    <row r="46" spans="1:30" hidden="1" x14ac:dyDescent="0.25">
      <c r="A46" s="465"/>
      <c r="B46" s="53"/>
      <c r="C46" s="30"/>
      <c r="D46" s="50"/>
      <c r="E46" s="33"/>
      <c r="F46" s="31"/>
      <c r="G46" s="32"/>
      <c r="H46" s="42"/>
      <c r="I46" s="38"/>
      <c r="J46" s="46"/>
      <c r="K46" s="35"/>
      <c r="L46" s="435"/>
      <c r="M46" s="435"/>
      <c r="N46" s="435"/>
      <c r="O46" s="436"/>
      <c r="P46" s="364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4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65">
        <f t="shared" si="7"/>
        <v>0</v>
      </c>
      <c r="Z46" s="434"/>
      <c r="AA46" s="435"/>
      <c r="AB46" s="436"/>
      <c r="AC46" s="27">
        <f t="shared" si="3"/>
        <v>0</v>
      </c>
      <c r="AD46" s="16">
        <f t="shared" si="11"/>
        <v>0</v>
      </c>
    </row>
    <row r="47" spans="1:30" hidden="1" x14ac:dyDescent="0.25">
      <c r="A47" s="465"/>
      <c r="B47" s="53"/>
      <c r="C47" s="30"/>
      <c r="D47" s="50"/>
      <c r="E47" s="33"/>
      <c r="F47" s="31"/>
      <c r="G47" s="32"/>
      <c r="H47" s="42"/>
      <c r="I47" s="38"/>
      <c r="J47" s="46"/>
      <c r="K47" s="35"/>
      <c r="L47" s="435"/>
      <c r="M47" s="435"/>
      <c r="N47" s="435"/>
      <c r="O47" s="436"/>
      <c r="P47" s="364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4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65">
        <f t="shared" si="7"/>
        <v>0</v>
      </c>
      <c r="Z47" s="434"/>
      <c r="AA47" s="435"/>
      <c r="AB47" s="436"/>
      <c r="AC47" s="27">
        <f t="shared" si="3"/>
        <v>0</v>
      </c>
      <c r="AD47" s="16">
        <f t="shared" si="11"/>
        <v>0</v>
      </c>
    </row>
    <row r="48" spans="1:30" ht="16" thickBot="1" x14ac:dyDescent="0.3">
      <c r="A48" s="466"/>
      <c r="B48" s="55"/>
      <c r="C48" s="65"/>
      <c r="D48" s="19"/>
      <c r="E48" s="404"/>
      <c r="F48" s="20"/>
      <c r="G48" s="18"/>
      <c r="H48" s="48">
        <f>AC48</f>
        <v>267.41935483870964</v>
      </c>
      <c r="I48" s="43"/>
      <c r="J48" s="47"/>
      <c r="K48" s="52"/>
      <c r="L48" s="61"/>
      <c r="M48" s="61"/>
      <c r="N48" s="61"/>
      <c r="O48" s="62"/>
      <c r="P48" s="390"/>
      <c r="Q48" s="391">
        <f>SUM(Q8:Q47)</f>
        <v>310</v>
      </c>
      <c r="R48" s="360">
        <f>SUM(R8:R47)</f>
        <v>28</v>
      </c>
      <c r="S48" s="392">
        <f>SUM(S8:S47)</f>
        <v>338</v>
      </c>
      <c r="T48" s="66">
        <f>SUM(T8:T47)</f>
        <v>338</v>
      </c>
      <c r="U48" s="392">
        <f t="shared" ref="U48:Y48" si="12">SUM(U8:U47)</f>
        <v>158</v>
      </c>
      <c r="V48" s="392">
        <f t="shared" si="12"/>
        <v>14</v>
      </c>
      <c r="W48" s="392">
        <f t="shared" si="12"/>
        <v>144</v>
      </c>
      <c r="X48" s="392">
        <f t="shared" si="12"/>
        <v>42</v>
      </c>
      <c r="Y48" s="392">
        <f t="shared" si="12"/>
        <v>358</v>
      </c>
      <c r="Z48" s="371"/>
      <c r="AA48" s="63"/>
      <c r="AB48" s="372"/>
      <c r="AC48" s="64">
        <f>SUM(AC8:AC47)</f>
        <v>267.41935483870964</v>
      </c>
      <c r="AD48" s="26">
        <f>SUM(AD8:AD47)</f>
        <v>7170</v>
      </c>
    </row>
    <row r="49" spans="1:30" ht="14.5" customHeight="1" x14ac:dyDescent="0.25">
      <c r="A49" s="464" t="s">
        <v>31</v>
      </c>
      <c r="B49" s="53" t="s">
        <v>74</v>
      </c>
      <c r="C49" s="33" t="s">
        <v>75</v>
      </c>
      <c r="D49" s="50" t="s">
        <v>71</v>
      </c>
      <c r="E49" s="33" t="s">
        <v>35</v>
      </c>
      <c r="F49" s="31"/>
      <c r="G49" s="430" t="s">
        <v>76</v>
      </c>
      <c r="H49" s="42">
        <v>840</v>
      </c>
      <c r="I49" s="382">
        <v>22</v>
      </c>
      <c r="J49" s="56">
        <v>22</v>
      </c>
      <c r="K49" s="51"/>
      <c r="L49" s="438"/>
      <c r="M49" s="438"/>
      <c r="N49" s="438"/>
      <c r="O49" s="439"/>
      <c r="P49" s="364">
        <f>IF(OR(J49="",G49=Paramétrage!$D$9,G49=Paramétrage!$D$12,G49=Paramétrage!$D$15,G49=Paramétrage!$D$18,G49=Paramétrage!$D$22,G49=Paramétrage!$D$25,AND(G49&lt;&gt;Paramétrage!$D$9,K49="Mut+ext")),0,ROUNDUP(I49/J49,0))</f>
        <v>0</v>
      </c>
      <c r="Q49" s="17">
        <f>IF(OR(G49="",K49="Mut+ext"),0,IF(VLOOKUP(G49,Paramétrage!$D$6:$F$27,3,0)=0,0,IF(J49="","saisir capacité",H49*P49*VLOOKUP(G49,Paramétrage!$D$6:$F$27,2,0))))</f>
        <v>0</v>
      </c>
      <c r="R49" s="57"/>
      <c r="S49" s="15">
        <f t="shared" si="1"/>
        <v>0</v>
      </c>
      <c r="T49" s="58">
        <f>IF(G49="",0,IF(ISERROR(R49+Q49*VLOOKUP(G49,Paramétrage!$D$6:$F$27,3,0))=TRUE,S49,R49+Q49*VLOOKUP(G49,Paramétrage!$D$6:$F$27,3,0)))</f>
        <v>0</v>
      </c>
      <c r="U49" s="37"/>
      <c r="V49" s="37"/>
      <c r="W49" s="37"/>
      <c r="X49" s="37"/>
      <c r="Y49" s="365">
        <f>SUM(U49:X49)</f>
        <v>0</v>
      </c>
      <c r="Z49" s="437"/>
      <c r="AA49" s="438"/>
      <c r="AB49" s="439"/>
      <c r="AC49" s="59">
        <f ca="1">IF(B49="",0,IF(E49="",0,IF(SUMIF($B$49:$B$88,B49,$I$49:$I$68)=0,0,IF(E49="Obligatoire",AD49/I49,IF(F49="",AD49/SUMIF($B$49:$B$88,B49,$I$49:$I$68),AD49/(SUMIF($B$49:$B$88,B49,$I$49:$I$88)/F49))))))</f>
        <v>840</v>
      </c>
      <c r="AD49" s="60">
        <f>H49*I49</f>
        <v>18480</v>
      </c>
    </row>
    <row r="50" spans="1:30" x14ac:dyDescent="0.25">
      <c r="A50" s="465"/>
      <c r="B50" s="53" t="s">
        <v>38</v>
      </c>
      <c r="C50" s="33" t="s">
        <v>300</v>
      </c>
      <c r="D50" s="50" t="s">
        <v>68</v>
      </c>
      <c r="E50" s="33" t="s">
        <v>35</v>
      </c>
      <c r="F50" s="31"/>
      <c r="G50" s="32" t="s">
        <v>65</v>
      </c>
      <c r="H50" s="428">
        <v>99</v>
      </c>
      <c r="I50" s="382">
        <v>3</v>
      </c>
      <c r="J50" s="46">
        <v>22</v>
      </c>
      <c r="K50" s="35"/>
      <c r="L50" s="435"/>
      <c r="M50" s="435"/>
      <c r="N50" s="435"/>
      <c r="O50" s="436"/>
      <c r="P50" s="364">
        <f>IF(OR(J50="",G50=Paramétrage!$D$9,G50=Paramétrage!$D$12,G50=Paramétrage!$D$15,G50=Paramétrage!$D$18,G50=Paramétrage!$D$22,G50=Paramétrage!$D$25,AND(G50&lt;&gt;Paramétrage!$D$9,K50="Mut+ext")),0,ROUNDUP(I50/J50,0))</f>
        <v>0</v>
      </c>
      <c r="Q50" s="17">
        <f>IF(OR(G50="",K50="Mut+ext"),0,IF(VLOOKUP(G50,Paramétrage!$D$6:$F$27,3,0)=0,0,IF(J50="","saisir capacité",H50*P50*VLOOKUP(G50,Paramétrage!$D$6:$F$27,2,0))))</f>
        <v>0</v>
      </c>
      <c r="R50" s="34">
        <v>17</v>
      </c>
      <c r="S50" s="15">
        <f t="shared" si="1"/>
        <v>17</v>
      </c>
      <c r="T50" s="28">
        <f>IF(G50="",0,IF(ISERROR(R50+Q50*VLOOKUP(G50,Paramétrage!$D$6:$F$27,3,0))=TRUE,S50,R50+Q50*VLOOKUP(G50,Paramétrage!$D$6:$F$27,3,0)))</f>
        <v>17</v>
      </c>
      <c r="U50" s="38"/>
      <c r="V50" s="38">
        <v>17</v>
      </c>
      <c r="W50" s="38"/>
      <c r="X50" s="38"/>
      <c r="Y50" s="365">
        <f t="shared" ref="Y50:Y68" si="13">SUM(U50:X50)</f>
        <v>17</v>
      </c>
      <c r="Z50" s="440" t="s">
        <v>77</v>
      </c>
      <c r="AA50" s="441"/>
      <c r="AB50" s="442"/>
      <c r="AC50" s="27">
        <f ca="1">IF(B50="",0,IF(E50="",0,IF(SUMIF($B$49:$B$88,B50,$I$49:$I$68)=0,0,IF(E50="Obligatoire",AD50/I50,IF(F50="",AD50/SUMIF($B$49:$B$88,B50,$I$49:$I$68),AD50/(SUMIF($B$49:$B$88,B50,$I$49:$I$88)/F50))))))</f>
        <v>99</v>
      </c>
      <c r="AD50" s="16">
        <f>H50*I50</f>
        <v>297</v>
      </c>
    </row>
    <row r="51" spans="1:30" x14ac:dyDescent="0.25">
      <c r="A51" s="465"/>
      <c r="B51" s="53" t="s">
        <v>297</v>
      </c>
      <c r="C51" s="33" t="s">
        <v>298</v>
      </c>
      <c r="D51" s="50" t="s">
        <v>68</v>
      </c>
      <c r="E51" s="33" t="s">
        <v>35</v>
      </c>
      <c r="F51" s="31"/>
      <c r="G51" s="32" t="s">
        <v>73</v>
      </c>
      <c r="H51" s="42">
        <v>0</v>
      </c>
      <c r="I51" s="382">
        <v>3</v>
      </c>
      <c r="J51" s="46">
        <v>22</v>
      </c>
      <c r="K51" s="35"/>
      <c r="L51" s="435"/>
      <c r="M51" s="435"/>
      <c r="N51" s="435"/>
      <c r="O51" s="436"/>
      <c r="P51" s="364">
        <f>IF(OR(J51="",G51=Paramétrage!$D$9,G51=Paramétrage!$D$12,G51=Paramétrage!$D$15,G51=Paramétrage!$D$18,G51=Paramétrage!$D$22,G51=Paramétrage!$D$25,AND(G51&lt;&gt;Paramétrage!$D$9,K51="Mut+ext")),0,ROUNDUP(I51/J51,0))</f>
        <v>0</v>
      </c>
      <c r="Q51" s="17">
        <f>IF(OR(G51="",K51="Mut+ext"),0,IF(VLOOKUP(G51,Paramétrage!$D$6:$F$27,3,0)=0,0,IF(J51="","saisir capacité",H51*P51*VLOOKUP(G51,Paramétrage!$D$6:$F$27,2,0))))</f>
        <v>0</v>
      </c>
      <c r="R51" s="34">
        <v>9</v>
      </c>
      <c r="S51" s="15">
        <f t="shared" si="1"/>
        <v>9</v>
      </c>
      <c r="T51" s="28">
        <f>IF(G51="",0,IF(ISERROR(R51+Q51*VLOOKUP(G51,Paramétrage!$D$6:$F$27,3,0))=TRUE,S51,R51+Q51*VLOOKUP(G51,Paramétrage!$D$6:$F$27,3,0)))</f>
        <v>9</v>
      </c>
      <c r="U51" s="38"/>
      <c r="V51" s="38"/>
      <c r="W51" s="38"/>
      <c r="X51" s="38">
        <v>9</v>
      </c>
      <c r="Y51" s="365">
        <f t="shared" si="13"/>
        <v>9</v>
      </c>
      <c r="Z51" s="434" t="s">
        <v>299</v>
      </c>
      <c r="AA51" s="435"/>
      <c r="AB51" s="436"/>
      <c r="AC51" s="27">
        <f t="shared" ref="AC51:AC88" ca="1" si="14">IF(B51="",0,IF(E51="",0,IF(SUMIF($B$49:$B$88,B51,$I$49:$I$68)=0,0,IF(E51="Obligatoire",AD51/I51,IF(F51="",AD51/SUMIF($B$49:$B$88,B51,$I$49:$I$68),AD51/(SUMIF($B$49:$B$88,B51,$I$49:$I$88)/F51))))))</f>
        <v>0</v>
      </c>
      <c r="AD51" s="16">
        <f t="shared" ref="AD51:AD62" si="15">H51*I51</f>
        <v>0</v>
      </c>
    </row>
    <row r="52" spans="1:30" x14ac:dyDescent="0.25">
      <c r="A52" s="465"/>
      <c r="B52" s="53" t="s">
        <v>70</v>
      </c>
      <c r="C52" s="30" t="s">
        <v>301</v>
      </c>
      <c r="D52" s="30" t="s">
        <v>68</v>
      </c>
      <c r="E52" s="386" t="s">
        <v>35</v>
      </c>
      <c r="F52" s="31"/>
      <c r="G52" s="32" t="s">
        <v>65</v>
      </c>
      <c r="H52" s="433">
        <v>35</v>
      </c>
      <c r="I52" s="39">
        <v>3</v>
      </c>
      <c r="J52" s="429">
        <v>22</v>
      </c>
      <c r="K52" s="35"/>
      <c r="L52" s="435"/>
      <c r="M52" s="435"/>
      <c r="N52" s="435"/>
      <c r="O52" s="436"/>
      <c r="P52" s="364">
        <f>IF(OR(J52="",G52=Paramétrage!$D$9,G52=Paramétrage!$D$12,G52=Paramétrage!$D$15,G52=Paramétrage!$D$18,G52=Paramétrage!$D$22,G52=Paramétrage!$D$25,AND(G52&lt;&gt;Paramétrage!$D$9,K52="Mut+ext")),0,ROUNDUP(I52/J52,0))</f>
        <v>0</v>
      </c>
      <c r="Q52" s="17">
        <f>IF(OR(G52="",K52="Mut+ext"),0,IF(VLOOKUP(G52,Paramétrage!$D$6:$F$27,3,0)=0,0,IF(J52="","saisir capacité",H52*P52*VLOOKUP(G52,Paramétrage!$D$6:$F$27,2,0))))</f>
        <v>0</v>
      </c>
      <c r="R52" s="34">
        <v>5</v>
      </c>
      <c r="S52" s="15">
        <f t="shared" si="1"/>
        <v>5</v>
      </c>
      <c r="T52" s="28">
        <f>IF(G52="",0,IF(ISERROR(R52+Q52*VLOOKUP(G52,Paramétrage!$D$6:$F$27,3,0))=TRUE,S52,R52+Q52*VLOOKUP(G52,Paramétrage!$D$6:$F$27,3,0)))</f>
        <v>5</v>
      </c>
      <c r="U52" s="38">
        <v>5</v>
      </c>
      <c r="V52" s="38"/>
      <c r="W52" s="38"/>
      <c r="X52" s="38"/>
      <c r="Y52" s="365">
        <f t="shared" si="13"/>
        <v>5</v>
      </c>
      <c r="Z52" s="434"/>
      <c r="AA52" s="435"/>
      <c r="AB52" s="436"/>
      <c r="AC52" s="27">
        <f t="shared" ca="1" si="14"/>
        <v>35</v>
      </c>
      <c r="AD52" s="16">
        <f t="shared" si="15"/>
        <v>105</v>
      </c>
    </row>
    <row r="53" spans="1:30" x14ac:dyDescent="0.25">
      <c r="A53" s="465"/>
      <c r="B53" s="53"/>
      <c r="C53" s="30"/>
      <c r="D53" s="50"/>
      <c r="E53" s="33"/>
      <c r="F53" s="31"/>
      <c r="G53" s="32"/>
      <c r="H53" s="42"/>
      <c r="I53" s="382"/>
      <c r="J53" s="46"/>
      <c r="K53" s="35"/>
      <c r="L53" s="435"/>
      <c r="M53" s="435"/>
      <c r="N53" s="435"/>
      <c r="O53" s="436"/>
      <c r="P53" s="364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7">
        <f>IF(OR(G53="",K53="Mut+ext"),0,IF(VLOOKUP(G53,Paramétrage!$D$6:$F$27,3,0)=0,0,IF(J53="","saisir capacité",H53*P53*VLOOKUP(G53,Paramétrage!$D$6:$F$27,2,0))))</f>
        <v>0</v>
      </c>
      <c r="R53" s="34"/>
      <c r="S53" s="15">
        <f t="shared" si="1"/>
        <v>0</v>
      </c>
      <c r="T53" s="28">
        <f>IF(G53="",0,IF(ISERROR(R53+Q53*VLOOKUP(G53,Paramétrage!$D$6:$F$27,3,0))=TRUE,S53,R53+Q53*VLOOKUP(G53,Paramétrage!$D$6:$F$27,3,0)))</f>
        <v>0</v>
      </c>
      <c r="U53" s="38"/>
      <c r="V53" s="38"/>
      <c r="W53" s="38"/>
      <c r="X53" s="38"/>
      <c r="Y53" s="365">
        <f t="shared" si="13"/>
        <v>0</v>
      </c>
      <c r="Z53" s="434"/>
      <c r="AA53" s="435"/>
      <c r="AB53" s="436"/>
      <c r="AC53" s="27">
        <f t="shared" si="14"/>
        <v>0</v>
      </c>
      <c r="AD53" s="16">
        <f t="shared" si="15"/>
        <v>0</v>
      </c>
    </row>
    <row r="54" spans="1:30" x14ac:dyDescent="0.25">
      <c r="A54" s="465"/>
      <c r="B54" s="53"/>
      <c r="C54" s="30"/>
      <c r="D54" s="50"/>
      <c r="E54" s="33"/>
      <c r="F54" s="31"/>
      <c r="G54" s="32"/>
      <c r="H54" s="42"/>
      <c r="I54" s="382"/>
      <c r="J54" s="46"/>
      <c r="K54" s="35"/>
      <c r="L54" s="435"/>
      <c r="M54" s="435"/>
      <c r="N54" s="435"/>
      <c r="O54" s="436"/>
      <c r="P54" s="364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34"/>
      <c r="S54" s="15">
        <f t="shared" si="1"/>
        <v>0</v>
      </c>
      <c r="T54" s="28">
        <f>IF(G54="",0,IF(ISERROR(R54+Q54*VLOOKUP(G54,Paramétrage!$D$6:$F$27,3,0))=TRUE,S54,R54+Q54*VLOOKUP(G54,Paramétrage!$D$6:$F$27,3,0)))</f>
        <v>0</v>
      </c>
      <c r="U54" s="38"/>
      <c r="V54" s="38"/>
      <c r="W54" s="38"/>
      <c r="X54" s="38"/>
      <c r="Y54" s="365">
        <f t="shared" si="13"/>
        <v>0</v>
      </c>
      <c r="Z54" s="434"/>
      <c r="AA54" s="435"/>
      <c r="AB54" s="436"/>
      <c r="AC54" s="27">
        <f t="shared" si="14"/>
        <v>0</v>
      </c>
      <c r="AD54" s="16">
        <f t="shared" si="15"/>
        <v>0</v>
      </c>
    </row>
    <row r="55" spans="1:30" x14ac:dyDescent="0.25">
      <c r="A55" s="465"/>
      <c r="B55" s="53"/>
      <c r="C55" s="30"/>
      <c r="D55" s="50"/>
      <c r="E55" s="33"/>
      <c r="F55" s="31"/>
      <c r="G55" s="32"/>
      <c r="H55" s="42"/>
      <c r="I55" s="382"/>
      <c r="J55" s="46"/>
      <c r="K55" s="35"/>
      <c r="L55" s="435"/>
      <c r="M55" s="435"/>
      <c r="N55" s="435"/>
      <c r="O55" s="436"/>
      <c r="P55" s="364">
        <f>IF(OR(J55="",G55=Paramétrage!$D$9,G55=Paramétrage!$D$12,G55=Paramétrage!$D$15,G55=Paramétrage!$D$18,G55=Paramétrage!$D$22,G55=Paramétrage!$D$25,AND(G55&lt;&gt;Paramétrage!$D$9,K55="Mut+ext")),0,ROUNDUP(I55/J55,0))</f>
        <v>0</v>
      </c>
      <c r="Q55" s="17">
        <f>IF(OR(G55="",K55="Mut+ext"),0,IF(VLOOKUP(G55,Paramétrage!$D$6:$F$27,3,0)=0,0,IF(J55="","saisir capacité",H55*P55*VLOOKUP(G55,Paramétrage!$D$6:$F$27,2,0))))</f>
        <v>0</v>
      </c>
      <c r="R55" s="34"/>
      <c r="S55" s="15">
        <f t="shared" si="1"/>
        <v>0</v>
      </c>
      <c r="T55" s="28">
        <f>IF(G55="",0,IF(ISERROR(R55+Q55*VLOOKUP(G55,Paramétrage!$D$6:$F$27,3,0))=TRUE,S55,R55+Q55*VLOOKUP(G55,Paramétrage!$D$6:$F$27,3,0)))</f>
        <v>0</v>
      </c>
      <c r="U55" s="38"/>
      <c r="V55" s="38"/>
      <c r="W55" s="38"/>
      <c r="X55" s="38"/>
      <c r="Y55" s="365">
        <f t="shared" si="13"/>
        <v>0</v>
      </c>
      <c r="Z55" s="434"/>
      <c r="AA55" s="435"/>
      <c r="AB55" s="436"/>
      <c r="AC55" s="27">
        <f t="shared" si="14"/>
        <v>0</v>
      </c>
      <c r="AD55" s="16">
        <f t="shared" si="15"/>
        <v>0</v>
      </c>
    </row>
    <row r="56" spans="1:30" x14ac:dyDescent="0.25">
      <c r="A56" s="465"/>
      <c r="B56" s="53"/>
      <c r="C56" s="30"/>
      <c r="D56" s="50"/>
      <c r="E56" s="33"/>
      <c r="F56" s="31"/>
      <c r="G56" s="32"/>
      <c r="H56" s="42"/>
      <c r="I56" s="382"/>
      <c r="J56" s="46"/>
      <c r="K56" s="35"/>
      <c r="L56" s="435"/>
      <c r="M56" s="435"/>
      <c r="N56" s="435"/>
      <c r="O56" s="436"/>
      <c r="P56" s="364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34"/>
      <c r="S56" s="15">
        <f t="shared" si="1"/>
        <v>0</v>
      </c>
      <c r="T56" s="28">
        <f>IF(G56="",0,IF(ISERROR(R56+Q56*VLOOKUP(G56,Paramétrage!$D$6:$F$27,3,0))=TRUE,S56,R56+Q56*VLOOKUP(G56,Paramétrage!$D$6:$F$27,3,0)))</f>
        <v>0</v>
      </c>
      <c r="U56" s="414"/>
      <c r="V56" s="414"/>
      <c r="W56" s="414"/>
      <c r="X56" s="38"/>
      <c r="Y56" s="365">
        <f t="shared" si="13"/>
        <v>0</v>
      </c>
      <c r="Z56" s="434"/>
      <c r="AA56" s="435"/>
      <c r="AB56" s="436"/>
      <c r="AC56" s="27">
        <f t="shared" si="14"/>
        <v>0</v>
      </c>
      <c r="AD56" s="16">
        <f t="shared" si="15"/>
        <v>0</v>
      </c>
    </row>
    <row r="57" spans="1:30" x14ac:dyDescent="0.25">
      <c r="A57" s="465"/>
      <c r="B57" s="53"/>
      <c r="C57" s="30"/>
      <c r="D57" s="50"/>
      <c r="E57" s="33"/>
      <c r="F57" s="31"/>
      <c r="G57" s="32"/>
      <c r="H57" s="42"/>
      <c r="I57" s="38"/>
      <c r="J57" s="46"/>
      <c r="K57" s="35"/>
      <c r="L57" s="435"/>
      <c r="M57" s="435"/>
      <c r="N57" s="435"/>
      <c r="O57" s="436"/>
      <c r="P57" s="364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4"/>
      <c r="S57" s="15">
        <f t="shared" si="1"/>
        <v>0</v>
      </c>
      <c r="T57" s="28">
        <f>IF(G57="",0,IF(ISERROR(R57+Q57*VLOOKUP(G57,Paramétrage!$D$6:$F$27,3,0))=TRUE,S57,R57+Q57*VLOOKUP(G57,Paramétrage!$D$6:$F$27,3,0)))</f>
        <v>0</v>
      </c>
      <c r="U57" s="38"/>
      <c r="V57" s="38"/>
      <c r="W57" s="38"/>
      <c r="X57" s="38"/>
      <c r="Y57" s="365">
        <f t="shared" si="13"/>
        <v>0</v>
      </c>
      <c r="Z57" s="434"/>
      <c r="AA57" s="435"/>
      <c r="AB57" s="436"/>
      <c r="AC57" s="27">
        <f t="shared" si="14"/>
        <v>0</v>
      </c>
      <c r="AD57" s="16">
        <f t="shared" si="15"/>
        <v>0</v>
      </c>
    </row>
    <row r="58" spans="1:30" x14ac:dyDescent="0.25">
      <c r="A58" s="465"/>
      <c r="B58" s="53"/>
      <c r="C58" s="30"/>
      <c r="D58" s="50"/>
      <c r="E58" s="30"/>
      <c r="F58" s="31"/>
      <c r="G58" s="32"/>
      <c r="H58" s="42"/>
      <c r="I58" s="38"/>
      <c r="J58" s="46"/>
      <c r="K58" s="35"/>
      <c r="L58" s="435"/>
      <c r="M58" s="435"/>
      <c r="N58" s="435"/>
      <c r="O58" s="436"/>
      <c r="P58" s="364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4"/>
      <c r="S58" s="15">
        <f t="shared" si="1"/>
        <v>0</v>
      </c>
      <c r="T58" s="28">
        <f>IF(G58="",0,IF(ISERROR(R58+Q58*VLOOKUP(G58,Paramétrage!$D$6:$F$27,3,0))=TRUE,S58,R58+Q58*VLOOKUP(G58,Paramétrage!$D$6:$F$27,3,0)))</f>
        <v>0</v>
      </c>
      <c r="U58" s="38"/>
      <c r="V58" s="38"/>
      <c r="W58" s="38"/>
      <c r="X58" s="38"/>
      <c r="Y58" s="365">
        <f t="shared" si="13"/>
        <v>0</v>
      </c>
      <c r="Z58" s="434"/>
      <c r="AA58" s="435"/>
      <c r="AB58" s="436"/>
      <c r="AC58" s="27">
        <f t="shared" si="14"/>
        <v>0</v>
      </c>
      <c r="AD58" s="16">
        <f t="shared" si="15"/>
        <v>0</v>
      </c>
    </row>
    <row r="59" spans="1:30" x14ac:dyDescent="0.25">
      <c r="A59" s="465"/>
      <c r="B59" s="53"/>
      <c r="C59" s="30"/>
      <c r="D59" s="50"/>
      <c r="E59" s="33"/>
      <c r="F59" s="31"/>
      <c r="G59" s="32"/>
      <c r="H59" s="42"/>
      <c r="I59" s="382"/>
      <c r="J59" s="46"/>
      <c r="K59" s="35"/>
      <c r="L59" s="435"/>
      <c r="M59" s="435"/>
      <c r="N59" s="435"/>
      <c r="O59" s="436"/>
      <c r="P59" s="364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4"/>
      <c r="S59" s="15">
        <f t="shared" si="1"/>
        <v>0</v>
      </c>
      <c r="T59" s="28">
        <f>IF(G59="",0,IF(ISERROR(R59+Q59*VLOOKUP(G59,Paramétrage!$D$6:$F$27,3,0))=TRUE,S59,R59+Q59*VLOOKUP(G59,Paramétrage!$D$6:$F$27,3,0)))</f>
        <v>0</v>
      </c>
      <c r="U59" s="38"/>
      <c r="V59" s="38"/>
      <c r="W59" s="38"/>
      <c r="X59" s="38"/>
      <c r="Y59" s="365">
        <f t="shared" si="13"/>
        <v>0</v>
      </c>
      <c r="Z59" s="434"/>
      <c r="AA59" s="435"/>
      <c r="AB59" s="436"/>
      <c r="AC59" s="27">
        <f t="shared" si="14"/>
        <v>0</v>
      </c>
      <c r="AD59" s="16">
        <f t="shared" si="15"/>
        <v>0</v>
      </c>
    </row>
    <row r="60" spans="1:30" x14ac:dyDescent="0.25">
      <c r="A60" s="465"/>
      <c r="B60" s="53"/>
      <c r="C60" s="30"/>
      <c r="D60" s="50"/>
      <c r="E60" s="33"/>
      <c r="F60" s="31"/>
      <c r="G60" s="32"/>
      <c r="H60" s="42"/>
      <c r="I60" s="38"/>
      <c r="J60" s="46"/>
      <c r="K60" s="35"/>
      <c r="L60" s="435"/>
      <c r="M60" s="435"/>
      <c r="N60" s="435"/>
      <c r="O60" s="436"/>
      <c r="P60" s="364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4"/>
      <c r="S60" s="15">
        <f t="shared" si="1"/>
        <v>0</v>
      </c>
      <c r="T60" s="28">
        <f>IF(G60="",0,IF(ISERROR(R60+Q60*VLOOKUP(G60,Paramétrage!$D$6:$F$27,3,0))=TRUE,S60,R60+Q60*VLOOKUP(G60,Paramétrage!$D$6:$F$27,3,0)))</f>
        <v>0</v>
      </c>
      <c r="U60" s="38"/>
      <c r="V60" s="38"/>
      <c r="W60" s="38"/>
      <c r="X60" s="38"/>
      <c r="Y60" s="365">
        <f t="shared" si="13"/>
        <v>0</v>
      </c>
      <c r="Z60" s="434"/>
      <c r="AA60" s="435"/>
      <c r="AB60" s="436"/>
      <c r="AC60" s="27">
        <f t="shared" si="14"/>
        <v>0</v>
      </c>
      <c r="AD60" s="16">
        <f t="shared" si="15"/>
        <v>0</v>
      </c>
    </row>
    <row r="61" spans="1:30" x14ac:dyDescent="0.25">
      <c r="A61" s="465"/>
      <c r="B61" s="53"/>
      <c r="C61" s="30"/>
      <c r="D61" s="50"/>
      <c r="E61" s="33"/>
      <c r="F61" s="31"/>
      <c r="G61" s="32"/>
      <c r="H61" s="42"/>
      <c r="I61" s="38"/>
      <c r="J61" s="46"/>
      <c r="K61" s="35"/>
      <c r="L61" s="435"/>
      <c r="M61" s="435"/>
      <c r="N61" s="435"/>
      <c r="O61" s="436"/>
      <c r="P61" s="364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4"/>
      <c r="S61" s="15">
        <f t="shared" si="1"/>
        <v>0</v>
      </c>
      <c r="T61" s="28">
        <f>IF(G61="",0,IF(ISERROR(R61+Q61*VLOOKUP(G61,Paramétrage!$D$6:$F$27,3,0))=TRUE,S61,R61+Q61*VLOOKUP(G61,Paramétrage!$D$6:$F$27,3,0)))</f>
        <v>0</v>
      </c>
      <c r="U61" s="38"/>
      <c r="V61" s="38"/>
      <c r="W61" s="38"/>
      <c r="X61" s="38"/>
      <c r="Y61" s="365">
        <f t="shared" si="13"/>
        <v>0</v>
      </c>
      <c r="Z61" s="434"/>
      <c r="AA61" s="435"/>
      <c r="AB61" s="436"/>
      <c r="AC61" s="27">
        <f t="shared" si="14"/>
        <v>0</v>
      </c>
      <c r="AD61" s="16">
        <f t="shared" si="15"/>
        <v>0</v>
      </c>
    </row>
    <row r="62" spans="1:30" x14ac:dyDescent="0.25">
      <c r="A62" s="465"/>
      <c r="B62" s="53"/>
      <c r="C62" s="30"/>
      <c r="D62" s="50"/>
      <c r="E62" s="33"/>
      <c r="F62" s="31"/>
      <c r="G62" s="32"/>
      <c r="H62" s="42"/>
      <c r="I62" s="38"/>
      <c r="J62" s="46"/>
      <c r="K62" s="35"/>
      <c r="L62" s="435"/>
      <c r="M62" s="435"/>
      <c r="N62" s="435"/>
      <c r="O62" s="436"/>
      <c r="P62" s="364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4"/>
      <c r="S62" s="15">
        <f t="shared" si="1"/>
        <v>0</v>
      </c>
      <c r="T62" s="28">
        <f>IF(G62="",0,IF(ISERROR(R62+Q62*VLOOKUP(G62,Paramétrage!$D$6:$F$27,3,0))=TRUE,S62,R62+Q62*VLOOKUP(G62,Paramétrage!$D$6:$F$27,3,0)))</f>
        <v>0</v>
      </c>
      <c r="U62" s="38"/>
      <c r="V62" s="38"/>
      <c r="W62" s="38"/>
      <c r="X62" s="38"/>
      <c r="Y62" s="365">
        <f t="shared" si="13"/>
        <v>0</v>
      </c>
      <c r="Z62" s="434"/>
      <c r="AA62" s="435"/>
      <c r="AB62" s="436"/>
      <c r="AC62" s="27">
        <f t="shared" si="14"/>
        <v>0</v>
      </c>
      <c r="AD62" s="16">
        <f t="shared" si="15"/>
        <v>0</v>
      </c>
    </row>
    <row r="63" spans="1:30" x14ac:dyDescent="0.25">
      <c r="A63" s="465"/>
      <c r="B63" s="53"/>
      <c r="C63" s="30"/>
      <c r="D63" s="50"/>
      <c r="E63" s="33"/>
      <c r="F63" s="31"/>
      <c r="G63" s="32"/>
      <c r="H63" s="42"/>
      <c r="I63" s="38"/>
      <c r="J63" s="46"/>
      <c r="K63" s="35"/>
      <c r="L63" s="435"/>
      <c r="M63" s="435"/>
      <c r="N63" s="435"/>
      <c r="O63" s="436"/>
      <c r="P63" s="364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4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8"/>
      <c r="V63" s="38"/>
      <c r="W63" s="38"/>
      <c r="X63" s="38"/>
      <c r="Y63" s="365">
        <f t="shared" si="13"/>
        <v>0</v>
      </c>
      <c r="Z63" s="434"/>
      <c r="AA63" s="435"/>
      <c r="AB63" s="436"/>
      <c r="AC63" s="27">
        <f t="shared" si="14"/>
        <v>0</v>
      </c>
      <c r="AD63" s="16">
        <f t="shared" ref="AD63:AD68" si="16">H63*I63</f>
        <v>0</v>
      </c>
    </row>
    <row r="64" spans="1:30" x14ac:dyDescent="0.25">
      <c r="A64" s="465"/>
      <c r="B64" s="54"/>
      <c r="C64" s="30"/>
      <c r="D64" s="50"/>
      <c r="E64" s="33"/>
      <c r="F64" s="31"/>
      <c r="G64" s="32"/>
      <c r="H64" s="42"/>
      <c r="I64" s="38"/>
      <c r="J64" s="46"/>
      <c r="K64" s="35"/>
      <c r="L64" s="435"/>
      <c r="M64" s="435"/>
      <c r="N64" s="435"/>
      <c r="O64" s="436"/>
      <c r="P64" s="364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4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8"/>
      <c r="V64" s="38"/>
      <c r="W64" s="38"/>
      <c r="X64" s="38"/>
      <c r="Y64" s="365">
        <f t="shared" si="13"/>
        <v>0</v>
      </c>
      <c r="Z64" s="434"/>
      <c r="AA64" s="435"/>
      <c r="AB64" s="436"/>
      <c r="AC64" s="27">
        <f t="shared" si="14"/>
        <v>0</v>
      </c>
      <c r="AD64" s="16">
        <f t="shared" si="16"/>
        <v>0</v>
      </c>
    </row>
    <row r="65" spans="1:30" x14ac:dyDescent="0.25">
      <c r="A65" s="465"/>
      <c r="B65" s="53"/>
      <c r="C65" s="30"/>
      <c r="D65" s="50"/>
      <c r="E65" s="33"/>
      <c r="F65" s="31"/>
      <c r="G65" s="32"/>
      <c r="H65" s="42"/>
      <c r="I65" s="38"/>
      <c r="J65" s="46"/>
      <c r="K65" s="35"/>
      <c r="L65" s="435"/>
      <c r="M65" s="435"/>
      <c r="N65" s="435"/>
      <c r="O65" s="436"/>
      <c r="P65" s="364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4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8"/>
      <c r="V65" s="38"/>
      <c r="W65" s="38"/>
      <c r="X65" s="38"/>
      <c r="Y65" s="365">
        <f t="shared" si="13"/>
        <v>0</v>
      </c>
      <c r="Z65" s="434"/>
      <c r="AA65" s="435"/>
      <c r="AB65" s="436"/>
      <c r="AC65" s="27">
        <f t="shared" si="14"/>
        <v>0</v>
      </c>
      <c r="AD65" s="16">
        <f t="shared" si="16"/>
        <v>0</v>
      </c>
    </row>
    <row r="66" spans="1:30" x14ac:dyDescent="0.25">
      <c r="A66" s="465"/>
      <c r="B66" s="53"/>
      <c r="C66" s="30"/>
      <c r="D66" s="50"/>
      <c r="E66" s="33"/>
      <c r="F66" s="31"/>
      <c r="G66" s="32"/>
      <c r="H66" s="42"/>
      <c r="I66" s="38"/>
      <c r="J66" s="46"/>
      <c r="K66" s="35"/>
      <c r="L66" s="435"/>
      <c r="M66" s="435"/>
      <c r="N66" s="435"/>
      <c r="O66" s="436"/>
      <c r="P66" s="364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4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40"/>
      <c r="V66" s="40"/>
      <c r="W66" s="40"/>
      <c r="X66" s="40"/>
      <c r="Y66" s="365">
        <f t="shared" si="13"/>
        <v>0</v>
      </c>
      <c r="Z66" s="434"/>
      <c r="AA66" s="435"/>
      <c r="AB66" s="436"/>
      <c r="AC66" s="27">
        <f t="shared" si="14"/>
        <v>0</v>
      </c>
      <c r="AD66" s="16">
        <f t="shared" si="16"/>
        <v>0</v>
      </c>
    </row>
    <row r="67" spans="1:30" x14ac:dyDescent="0.25">
      <c r="A67" s="465"/>
      <c r="B67" s="53"/>
      <c r="C67" s="30"/>
      <c r="D67" s="50"/>
      <c r="E67" s="33"/>
      <c r="F67" s="31"/>
      <c r="G67" s="32"/>
      <c r="H67" s="42"/>
      <c r="I67" s="38"/>
      <c r="J67" s="46"/>
      <c r="K67" s="35"/>
      <c r="L67" s="435"/>
      <c r="M67" s="435"/>
      <c r="N67" s="435"/>
      <c r="O67" s="436"/>
      <c r="P67" s="364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4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65">
        <f t="shared" si="13"/>
        <v>0</v>
      </c>
      <c r="Z67" s="434"/>
      <c r="AA67" s="435"/>
      <c r="AB67" s="436"/>
      <c r="AC67" s="27">
        <f t="shared" si="14"/>
        <v>0</v>
      </c>
      <c r="AD67" s="16">
        <f t="shared" si="16"/>
        <v>0</v>
      </c>
    </row>
    <row r="68" spans="1:30" ht="15.65" customHeight="1" thickBot="1" x14ac:dyDescent="0.3">
      <c r="A68" s="465"/>
      <c r="B68" s="388"/>
      <c r="C68" s="33"/>
      <c r="D68" s="405"/>
      <c r="E68" s="30"/>
      <c r="F68" s="31"/>
      <c r="G68" s="32"/>
      <c r="H68" s="387"/>
      <c r="I68" s="39"/>
      <c r="J68" s="46"/>
      <c r="K68" s="35"/>
      <c r="L68" s="435"/>
      <c r="M68" s="435"/>
      <c r="N68" s="435"/>
      <c r="O68" s="436"/>
      <c r="P68" s="364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82"/>
      <c r="S68" s="383">
        <f t="shared" si="1"/>
        <v>0</v>
      </c>
      <c r="T68" s="384">
        <f>IF(G68="",0,IF(ISERROR(R68+Q68*VLOOKUP(G68,Paramétrage!$D$6:$F$27,3,0))=TRUE,S68,R68+Q68*VLOOKUP(G68,Paramétrage!$D$6:$F$27,3,0)))</f>
        <v>0</v>
      </c>
      <c r="U68" s="39"/>
      <c r="V68" s="39"/>
      <c r="W68" s="39"/>
      <c r="X68" s="39"/>
      <c r="Y68" s="385">
        <f t="shared" si="13"/>
        <v>0</v>
      </c>
      <c r="Z68" s="434"/>
      <c r="AA68" s="435"/>
      <c r="AB68" s="436"/>
      <c r="AC68" s="27">
        <f t="shared" si="14"/>
        <v>0</v>
      </c>
      <c r="AD68" s="16">
        <f t="shared" si="16"/>
        <v>0</v>
      </c>
    </row>
    <row r="69" spans="1:30" ht="14.5" customHeight="1" x14ac:dyDescent="0.25">
      <c r="A69" s="465"/>
      <c r="B69" s="53"/>
      <c r="C69" s="30"/>
      <c r="D69" s="30"/>
      <c r="E69" s="403"/>
      <c r="F69" s="31"/>
      <c r="G69" s="378"/>
      <c r="H69" s="379"/>
      <c r="I69" s="38"/>
      <c r="J69" s="380"/>
      <c r="K69" s="381"/>
      <c r="L69" s="444"/>
      <c r="M69" s="444"/>
      <c r="N69" s="444"/>
      <c r="O69" s="445"/>
      <c r="P69" s="374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5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65">
        <f>SUM(U69:X69)</f>
        <v>0</v>
      </c>
      <c r="Z69" s="443"/>
      <c r="AA69" s="444"/>
      <c r="AB69" s="445"/>
      <c r="AC69" s="27">
        <f t="shared" si="14"/>
        <v>0</v>
      </c>
      <c r="AD69" s="60">
        <f>H69*I69</f>
        <v>0</v>
      </c>
    </row>
    <row r="70" spans="1:30" x14ac:dyDescent="0.25">
      <c r="A70" s="465"/>
      <c r="B70" s="53"/>
      <c r="C70" s="30"/>
      <c r="D70" s="50"/>
      <c r="E70" s="33"/>
      <c r="F70" s="31"/>
      <c r="G70" s="382"/>
      <c r="H70" s="42"/>
      <c r="I70" s="38"/>
      <c r="J70" s="46"/>
      <c r="K70" s="35"/>
      <c r="L70" s="435"/>
      <c r="M70" s="435"/>
      <c r="N70" s="435"/>
      <c r="O70" s="436"/>
      <c r="P70" s="364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4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8"/>
      <c r="V70" s="38"/>
      <c r="W70" s="38"/>
      <c r="X70" s="38"/>
      <c r="Y70" s="365">
        <f t="shared" ref="Y70:Y88" si="17">SUM(U70:X70)</f>
        <v>0</v>
      </c>
      <c r="Z70" s="434"/>
      <c r="AA70" s="435"/>
      <c r="AB70" s="436"/>
      <c r="AC70" s="27">
        <f>IF(B70="",0,IF(E70="",0,IF(SUMIF($B$49:$B$88,B70,$I$49:$I$68)=0,0,IF(E70="Obligatoire",AD70/I70,IF(F70="",AD70/SUMIF($B$49:$B$88,B70,$I$49:$I$68),AD70/(SUMIF($B$49:$B$88,B70,$I$49:$I$88)/F70))))))</f>
        <v>0</v>
      </c>
      <c r="AD70" s="16">
        <f>H70*I70</f>
        <v>0</v>
      </c>
    </row>
    <row r="71" spans="1:30" x14ac:dyDescent="0.25">
      <c r="A71" s="465"/>
      <c r="B71" s="53"/>
      <c r="C71" s="30"/>
      <c r="D71" s="50"/>
      <c r="E71" s="33"/>
      <c r="F71" s="31"/>
      <c r="G71" s="32"/>
      <c r="H71" s="42"/>
      <c r="I71" s="38"/>
      <c r="J71" s="46"/>
      <c r="K71" s="35"/>
      <c r="L71" s="435"/>
      <c r="M71" s="435"/>
      <c r="N71" s="435"/>
      <c r="O71" s="436"/>
      <c r="P71" s="364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4"/>
      <c r="S71" s="15">
        <f t="shared" ref="S71:S88" si="18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8"/>
      <c r="V71" s="38"/>
      <c r="W71" s="38"/>
      <c r="X71" s="38"/>
      <c r="Y71" s="365">
        <f t="shared" si="17"/>
        <v>0</v>
      </c>
      <c r="Z71" s="434"/>
      <c r="AA71" s="435"/>
      <c r="AB71" s="436"/>
      <c r="AC71" s="27">
        <f t="shared" si="14"/>
        <v>0</v>
      </c>
      <c r="AD71" s="16">
        <f>H71*I71</f>
        <v>0</v>
      </c>
    </row>
    <row r="72" spans="1:30" x14ac:dyDescent="0.25">
      <c r="A72" s="465"/>
      <c r="B72" s="53"/>
      <c r="C72" s="30"/>
      <c r="D72" s="407"/>
      <c r="E72" s="406"/>
      <c r="F72" s="31"/>
      <c r="G72" s="32"/>
      <c r="H72" s="42"/>
      <c r="I72" s="38"/>
      <c r="J72" s="46"/>
      <c r="K72" s="35"/>
      <c r="L72" s="435"/>
      <c r="M72" s="435"/>
      <c r="N72" s="435"/>
      <c r="O72" s="436"/>
      <c r="P72" s="364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4"/>
      <c r="S72" s="15">
        <f t="shared" si="18"/>
        <v>0</v>
      </c>
      <c r="T72" s="28">
        <f>IF(G72="",0,IF(ISERROR(R72+Q72*VLOOKUP(G72,Paramétrage!$D$6:$F$27,3,0))=TRUE,S72,R72+Q72*VLOOKUP(G72,Paramétrage!$D$6:$F$27,3,0)))</f>
        <v>0</v>
      </c>
      <c r="U72" s="38"/>
      <c r="V72" s="38"/>
      <c r="W72" s="38"/>
      <c r="X72" s="38"/>
      <c r="Y72" s="365">
        <f t="shared" si="17"/>
        <v>0</v>
      </c>
      <c r="Z72" s="434"/>
      <c r="AA72" s="435"/>
      <c r="AB72" s="436"/>
      <c r="AC72" s="27">
        <f t="shared" si="14"/>
        <v>0</v>
      </c>
      <c r="AD72" s="16">
        <f t="shared" ref="AD72:AD84" si="19">H72*I72</f>
        <v>0</v>
      </c>
    </row>
    <row r="73" spans="1:30" x14ac:dyDescent="0.25">
      <c r="A73" s="465"/>
      <c r="B73" s="53"/>
      <c r="C73" s="30"/>
      <c r="D73" s="407"/>
      <c r="E73" s="50"/>
      <c r="F73" s="31"/>
      <c r="G73" s="32"/>
      <c r="H73" s="42"/>
      <c r="I73" s="38"/>
      <c r="J73" s="46"/>
      <c r="K73" s="35"/>
      <c r="L73" s="435"/>
      <c r="M73" s="435"/>
      <c r="N73" s="435"/>
      <c r="O73" s="436"/>
      <c r="P73" s="364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4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8"/>
      <c r="V73" s="38"/>
      <c r="W73" s="38"/>
      <c r="X73" s="38"/>
      <c r="Y73" s="365">
        <f t="shared" si="17"/>
        <v>0</v>
      </c>
      <c r="Z73" s="434"/>
      <c r="AA73" s="435"/>
      <c r="AB73" s="436"/>
      <c r="AC73" s="27">
        <f t="shared" si="14"/>
        <v>0</v>
      </c>
      <c r="AD73" s="16">
        <f t="shared" si="19"/>
        <v>0</v>
      </c>
    </row>
    <row r="74" spans="1:30" x14ac:dyDescent="0.25">
      <c r="A74" s="465"/>
      <c r="B74" s="53"/>
      <c r="C74" s="30"/>
      <c r="D74" s="407"/>
      <c r="E74" s="50"/>
      <c r="F74" s="31"/>
      <c r="G74" s="32"/>
      <c r="H74" s="42"/>
      <c r="I74" s="38"/>
      <c r="J74" s="46"/>
      <c r="K74" s="35"/>
      <c r="L74" s="435"/>
      <c r="M74" s="435"/>
      <c r="N74" s="435"/>
      <c r="O74" s="436"/>
      <c r="P74" s="364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4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8"/>
      <c r="V74" s="38"/>
      <c r="W74" s="38"/>
      <c r="X74" s="38"/>
      <c r="Y74" s="365">
        <f t="shared" si="17"/>
        <v>0</v>
      </c>
      <c r="Z74" s="434"/>
      <c r="AA74" s="435"/>
      <c r="AB74" s="436"/>
      <c r="AC74" s="27">
        <f t="shared" si="14"/>
        <v>0</v>
      </c>
      <c r="AD74" s="16">
        <f t="shared" si="19"/>
        <v>0</v>
      </c>
    </row>
    <row r="75" spans="1:30" x14ac:dyDescent="0.25">
      <c r="A75" s="465"/>
      <c r="B75" s="53"/>
      <c r="C75" s="30"/>
      <c r="D75" s="407"/>
      <c r="E75" s="50"/>
      <c r="F75" s="31"/>
      <c r="G75" s="32"/>
      <c r="H75" s="42"/>
      <c r="I75" s="38"/>
      <c r="J75" s="46"/>
      <c r="K75" s="35"/>
      <c r="L75" s="435"/>
      <c r="M75" s="435"/>
      <c r="N75" s="435"/>
      <c r="O75" s="436"/>
      <c r="P75" s="364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4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8"/>
      <c r="V75" s="38"/>
      <c r="W75" s="38"/>
      <c r="X75" s="38"/>
      <c r="Y75" s="365">
        <f t="shared" si="17"/>
        <v>0</v>
      </c>
      <c r="Z75" s="434"/>
      <c r="AA75" s="435"/>
      <c r="AB75" s="436"/>
      <c r="AC75" s="27">
        <f t="shared" si="14"/>
        <v>0</v>
      </c>
      <c r="AD75" s="16">
        <f t="shared" si="19"/>
        <v>0</v>
      </c>
    </row>
    <row r="76" spans="1:30" x14ac:dyDescent="0.25">
      <c r="A76" s="465"/>
      <c r="B76" s="53"/>
      <c r="C76" s="30"/>
      <c r="D76" s="407"/>
      <c r="E76" s="50"/>
      <c r="F76" s="31"/>
      <c r="G76" s="32"/>
      <c r="H76" s="42"/>
      <c r="I76" s="38"/>
      <c r="J76" s="46"/>
      <c r="K76" s="35"/>
      <c r="L76" s="435"/>
      <c r="M76" s="435"/>
      <c r="N76" s="435"/>
      <c r="O76" s="436"/>
      <c r="P76" s="364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4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8"/>
      <c r="V76" s="38"/>
      <c r="W76" s="38"/>
      <c r="X76" s="38"/>
      <c r="Y76" s="365">
        <f t="shared" si="17"/>
        <v>0</v>
      </c>
      <c r="Z76" s="434"/>
      <c r="AA76" s="435"/>
      <c r="AB76" s="436"/>
      <c r="AC76" s="27">
        <f t="shared" si="14"/>
        <v>0</v>
      </c>
      <c r="AD76" s="16">
        <f t="shared" si="19"/>
        <v>0</v>
      </c>
    </row>
    <row r="77" spans="1:30" x14ac:dyDescent="0.25">
      <c r="A77" s="465"/>
      <c r="B77" s="53"/>
      <c r="C77" s="30"/>
      <c r="D77" s="407"/>
      <c r="E77" s="50"/>
      <c r="F77" s="31"/>
      <c r="G77" s="32"/>
      <c r="H77" s="42"/>
      <c r="I77" s="38"/>
      <c r="J77" s="46"/>
      <c r="K77" s="35"/>
      <c r="L77" s="435"/>
      <c r="M77" s="435"/>
      <c r="N77" s="435"/>
      <c r="O77" s="436"/>
      <c r="P77" s="364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4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8"/>
      <c r="V77" s="38"/>
      <c r="W77" s="38"/>
      <c r="X77" s="38"/>
      <c r="Y77" s="365">
        <f t="shared" si="17"/>
        <v>0</v>
      </c>
      <c r="Z77" s="434"/>
      <c r="AA77" s="435"/>
      <c r="AB77" s="436"/>
      <c r="AC77" s="27">
        <f t="shared" si="14"/>
        <v>0</v>
      </c>
      <c r="AD77" s="16">
        <f t="shared" si="19"/>
        <v>0</v>
      </c>
    </row>
    <row r="78" spans="1:30" x14ac:dyDescent="0.25">
      <c r="A78" s="465"/>
      <c r="B78" s="53"/>
      <c r="C78" s="30"/>
      <c r="D78" s="407"/>
      <c r="E78" s="50"/>
      <c r="F78" s="31"/>
      <c r="G78" s="32"/>
      <c r="H78" s="42"/>
      <c r="I78" s="38"/>
      <c r="J78" s="46"/>
      <c r="K78" s="35"/>
      <c r="L78" s="435"/>
      <c r="M78" s="435"/>
      <c r="N78" s="435"/>
      <c r="O78" s="436"/>
      <c r="P78" s="364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4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65">
        <f t="shared" si="17"/>
        <v>0</v>
      </c>
      <c r="Z78" s="434"/>
      <c r="AA78" s="435"/>
      <c r="AB78" s="436"/>
      <c r="AC78" s="27">
        <f t="shared" si="14"/>
        <v>0</v>
      </c>
      <c r="AD78" s="16">
        <f t="shared" si="19"/>
        <v>0</v>
      </c>
    </row>
    <row r="79" spans="1:30" x14ac:dyDescent="0.25">
      <c r="A79" s="465"/>
      <c r="B79" s="53"/>
      <c r="C79" s="30"/>
      <c r="D79" s="407"/>
      <c r="E79" s="50"/>
      <c r="F79" s="31"/>
      <c r="G79" s="32"/>
      <c r="H79" s="42"/>
      <c r="I79" s="38"/>
      <c r="J79" s="46"/>
      <c r="K79" s="35"/>
      <c r="L79" s="435"/>
      <c r="M79" s="435"/>
      <c r="N79" s="435"/>
      <c r="O79" s="436"/>
      <c r="P79" s="364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4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65">
        <f t="shared" si="17"/>
        <v>0</v>
      </c>
      <c r="Z79" s="434"/>
      <c r="AA79" s="435"/>
      <c r="AB79" s="436"/>
      <c r="AC79" s="27">
        <f t="shared" si="14"/>
        <v>0</v>
      </c>
      <c r="AD79" s="16">
        <f t="shared" si="19"/>
        <v>0</v>
      </c>
    </row>
    <row r="80" spans="1:30" x14ac:dyDescent="0.25">
      <c r="A80" s="465"/>
      <c r="B80" s="53"/>
      <c r="C80" s="30"/>
      <c r="D80" s="407"/>
      <c r="E80" s="50"/>
      <c r="F80" s="31"/>
      <c r="G80" s="32"/>
      <c r="H80" s="42"/>
      <c r="I80" s="38"/>
      <c r="J80" s="46"/>
      <c r="K80" s="35"/>
      <c r="L80" s="435"/>
      <c r="M80" s="435"/>
      <c r="N80" s="435"/>
      <c r="O80" s="436"/>
      <c r="P80" s="364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4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8"/>
      <c r="V80" s="38"/>
      <c r="W80" s="38"/>
      <c r="X80" s="38"/>
      <c r="Y80" s="365">
        <f t="shared" si="17"/>
        <v>0</v>
      </c>
      <c r="Z80" s="434"/>
      <c r="AA80" s="435"/>
      <c r="AB80" s="436"/>
      <c r="AC80" s="27">
        <f t="shared" si="14"/>
        <v>0</v>
      </c>
      <c r="AD80" s="16">
        <f t="shared" si="19"/>
        <v>0</v>
      </c>
    </row>
    <row r="81" spans="1:30" x14ac:dyDescent="0.25">
      <c r="A81" s="465"/>
      <c r="B81" s="53"/>
      <c r="C81" s="30"/>
      <c r="D81" s="407"/>
      <c r="E81" s="50"/>
      <c r="F81" s="31"/>
      <c r="G81" s="32"/>
      <c r="H81" s="42"/>
      <c r="I81" s="38"/>
      <c r="J81" s="46"/>
      <c r="K81" s="35"/>
      <c r="L81" s="435"/>
      <c r="M81" s="435"/>
      <c r="N81" s="435"/>
      <c r="O81" s="436"/>
      <c r="P81" s="364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4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8"/>
      <c r="V81" s="38"/>
      <c r="W81" s="38"/>
      <c r="X81" s="38"/>
      <c r="Y81" s="365">
        <f t="shared" si="17"/>
        <v>0</v>
      </c>
      <c r="Z81" s="434"/>
      <c r="AA81" s="435"/>
      <c r="AB81" s="436"/>
      <c r="AC81" s="27">
        <f t="shared" si="14"/>
        <v>0</v>
      </c>
      <c r="AD81" s="16">
        <f t="shared" si="19"/>
        <v>0</v>
      </c>
    </row>
    <row r="82" spans="1:30" x14ac:dyDescent="0.25">
      <c r="A82" s="465"/>
      <c r="B82" s="53"/>
      <c r="C82" s="30"/>
      <c r="D82" s="407"/>
      <c r="E82" s="50"/>
      <c r="F82" s="31"/>
      <c r="G82" s="32"/>
      <c r="H82" s="42"/>
      <c r="I82" s="38"/>
      <c r="J82" s="46"/>
      <c r="K82" s="35"/>
      <c r="L82" s="435"/>
      <c r="M82" s="435"/>
      <c r="N82" s="435"/>
      <c r="O82" s="436"/>
      <c r="P82" s="364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4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8"/>
      <c r="V82" s="38"/>
      <c r="W82" s="38"/>
      <c r="X82" s="38"/>
      <c r="Y82" s="365">
        <f t="shared" si="17"/>
        <v>0</v>
      </c>
      <c r="Z82" s="434"/>
      <c r="AA82" s="435"/>
      <c r="AB82" s="436"/>
      <c r="AC82" s="27">
        <f t="shared" si="14"/>
        <v>0</v>
      </c>
      <c r="AD82" s="16">
        <f t="shared" si="19"/>
        <v>0</v>
      </c>
    </row>
    <row r="83" spans="1:30" x14ac:dyDescent="0.25">
      <c r="A83" s="465"/>
      <c r="B83" s="53"/>
      <c r="C83" s="30"/>
      <c r="D83" s="407"/>
      <c r="E83" s="50"/>
      <c r="F83" s="31"/>
      <c r="G83" s="32"/>
      <c r="H83" s="42"/>
      <c r="I83" s="38"/>
      <c r="J83" s="46"/>
      <c r="K83" s="35"/>
      <c r="L83" s="435"/>
      <c r="M83" s="435"/>
      <c r="N83" s="435"/>
      <c r="O83" s="436"/>
      <c r="P83" s="364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4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8"/>
      <c r="V83" s="38"/>
      <c r="W83" s="38"/>
      <c r="X83" s="38"/>
      <c r="Y83" s="365">
        <f t="shared" si="17"/>
        <v>0</v>
      </c>
      <c r="Z83" s="434"/>
      <c r="AA83" s="435"/>
      <c r="AB83" s="436"/>
      <c r="AC83" s="27">
        <f t="shared" si="14"/>
        <v>0</v>
      </c>
      <c r="AD83" s="16">
        <f t="shared" si="19"/>
        <v>0</v>
      </c>
    </row>
    <row r="84" spans="1:30" x14ac:dyDescent="0.25">
      <c r="A84" s="465"/>
      <c r="B84" s="53"/>
      <c r="C84" s="30"/>
      <c r="D84" s="407"/>
      <c r="E84" s="50"/>
      <c r="F84" s="31"/>
      <c r="G84" s="32"/>
      <c r="H84" s="42"/>
      <c r="I84" s="38"/>
      <c r="J84" s="46"/>
      <c r="K84" s="35"/>
      <c r="L84" s="435"/>
      <c r="M84" s="435"/>
      <c r="N84" s="435"/>
      <c r="O84" s="436"/>
      <c r="P84" s="364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4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8"/>
      <c r="V84" s="38"/>
      <c r="W84" s="38"/>
      <c r="X84" s="38"/>
      <c r="Y84" s="365">
        <f t="shared" si="17"/>
        <v>0</v>
      </c>
      <c r="Z84" s="434"/>
      <c r="AA84" s="435"/>
      <c r="AB84" s="436"/>
      <c r="AC84" s="27">
        <f t="shared" si="14"/>
        <v>0</v>
      </c>
      <c r="AD84" s="16">
        <f t="shared" si="19"/>
        <v>0</v>
      </c>
    </row>
    <row r="85" spans="1:30" x14ac:dyDescent="0.25">
      <c r="A85" s="465"/>
      <c r="B85" s="53"/>
      <c r="C85" s="30"/>
      <c r="D85" s="407"/>
      <c r="E85" s="50"/>
      <c r="F85" s="31"/>
      <c r="G85" s="32"/>
      <c r="H85" s="42"/>
      <c r="I85" s="38"/>
      <c r="J85" s="46"/>
      <c r="K85" s="35"/>
      <c r="L85" s="435"/>
      <c r="M85" s="435"/>
      <c r="N85" s="435"/>
      <c r="O85" s="436"/>
      <c r="P85" s="364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4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8"/>
      <c r="V85" s="38"/>
      <c r="W85" s="38"/>
      <c r="X85" s="38"/>
      <c r="Y85" s="365">
        <f t="shared" si="17"/>
        <v>0</v>
      </c>
      <c r="Z85" s="434"/>
      <c r="AA85" s="435"/>
      <c r="AB85" s="436"/>
      <c r="AC85" s="27">
        <f t="shared" si="14"/>
        <v>0</v>
      </c>
      <c r="AD85" s="16">
        <f>H85*I85</f>
        <v>0</v>
      </c>
    </row>
    <row r="86" spans="1:30" x14ac:dyDescent="0.25">
      <c r="A86" s="465"/>
      <c r="B86" s="53"/>
      <c r="C86" s="30"/>
      <c r="D86" s="407"/>
      <c r="E86" s="50"/>
      <c r="F86" s="31"/>
      <c r="G86" s="32"/>
      <c r="H86" s="42"/>
      <c r="I86" s="38"/>
      <c r="J86" s="46"/>
      <c r="K86" s="35"/>
      <c r="L86" s="435"/>
      <c r="M86" s="435"/>
      <c r="N86" s="435"/>
      <c r="O86" s="436"/>
      <c r="P86" s="364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4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40"/>
      <c r="V86" s="40"/>
      <c r="W86" s="40"/>
      <c r="X86" s="40"/>
      <c r="Y86" s="365">
        <f t="shared" si="17"/>
        <v>0</v>
      </c>
      <c r="Z86" s="434"/>
      <c r="AA86" s="435"/>
      <c r="AB86" s="436"/>
      <c r="AC86" s="27">
        <f t="shared" si="14"/>
        <v>0</v>
      </c>
      <c r="AD86" s="16">
        <f>H86*I86</f>
        <v>0</v>
      </c>
    </row>
    <row r="87" spans="1:30" x14ac:dyDescent="0.25">
      <c r="A87" s="465"/>
      <c r="B87" s="53"/>
      <c r="C87" s="30"/>
      <c r="D87" s="407"/>
      <c r="E87" s="50"/>
      <c r="F87" s="31"/>
      <c r="G87" s="32"/>
      <c r="H87" s="42"/>
      <c r="I87" s="38"/>
      <c r="J87" s="46"/>
      <c r="K87" s="35"/>
      <c r="L87" s="435"/>
      <c r="M87" s="435"/>
      <c r="N87" s="435"/>
      <c r="O87" s="436"/>
      <c r="P87" s="364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4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65">
        <f t="shared" si="17"/>
        <v>0</v>
      </c>
      <c r="Z87" s="434"/>
      <c r="AA87" s="435"/>
      <c r="AB87" s="436"/>
      <c r="AC87" s="27">
        <f t="shared" si="14"/>
        <v>0</v>
      </c>
      <c r="AD87" s="16">
        <f>H87*I87</f>
        <v>0</v>
      </c>
    </row>
    <row r="88" spans="1:30" x14ac:dyDescent="0.25">
      <c r="A88" s="465"/>
      <c r="B88" s="53"/>
      <c r="C88" s="30"/>
      <c r="D88" s="407"/>
      <c r="E88" s="50"/>
      <c r="F88" s="31"/>
      <c r="G88" s="32"/>
      <c r="H88" s="42"/>
      <c r="I88" s="38"/>
      <c r="J88" s="46"/>
      <c r="K88" s="35"/>
      <c r="L88" s="435"/>
      <c r="M88" s="435"/>
      <c r="N88" s="435"/>
      <c r="O88" s="436"/>
      <c r="P88" s="364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4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65">
        <f t="shared" si="17"/>
        <v>0</v>
      </c>
      <c r="Z88" s="434"/>
      <c r="AA88" s="435"/>
      <c r="AB88" s="436"/>
      <c r="AC88" s="27">
        <f t="shared" si="14"/>
        <v>0</v>
      </c>
      <c r="AD88" s="16">
        <f>H88*I88</f>
        <v>0</v>
      </c>
    </row>
    <row r="89" spans="1:30" ht="16" thickBot="1" x14ac:dyDescent="0.3">
      <c r="A89" s="466"/>
      <c r="B89" s="55"/>
      <c r="C89" s="19"/>
      <c r="D89" s="65"/>
      <c r="E89" s="19"/>
      <c r="F89" s="20"/>
      <c r="G89" s="18"/>
      <c r="H89" s="48">
        <f ca="1">AC89</f>
        <v>974</v>
      </c>
      <c r="I89" s="43"/>
      <c r="J89" s="47"/>
      <c r="K89" s="52"/>
      <c r="L89" s="61"/>
      <c r="M89" s="61"/>
      <c r="N89" s="61"/>
      <c r="O89" s="62"/>
      <c r="P89" s="390"/>
      <c r="Q89" s="391">
        <f>SUM(Q49:Q88)</f>
        <v>0</v>
      </c>
      <c r="R89" s="360">
        <f>SUM(R49:R88)</f>
        <v>31</v>
      </c>
      <c r="S89" s="392">
        <f>SUM(S49:S88)</f>
        <v>31</v>
      </c>
      <c r="T89" s="66">
        <f>SUM(T49:T88)</f>
        <v>31</v>
      </c>
      <c r="U89" s="392">
        <f t="shared" ref="U89" si="20">SUM(U49:U88)</f>
        <v>5</v>
      </c>
      <c r="V89" s="392">
        <f t="shared" ref="V89" si="21">SUM(V49:V88)</f>
        <v>17</v>
      </c>
      <c r="W89" s="392">
        <f t="shared" ref="W89" si="22">SUM(W49:W88)</f>
        <v>0</v>
      </c>
      <c r="X89" s="392">
        <f t="shared" ref="X89" si="23">SUM(X49:X88)</f>
        <v>9</v>
      </c>
      <c r="Y89" s="392">
        <f t="shared" ref="Y89" si="24">SUM(Y49:Y88)</f>
        <v>31</v>
      </c>
      <c r="Z89" s="369"/>
      <c r="AA89" s="63"/>
      <c r="AB89" s="370"/>
      <c r="AC89" s="64">
        <f ca="1">SUM(AC49:AC88)</f>
        <v>974</v>
      </c>
      <c r="AD89" s="26">
        <f>SUM(AD49:AD88)</f>
        <v>18882</v>
      </c>
    </row>
    <row r="90" spans="1:30" ht="16" thickBot="1" x14ac:dyDescent="0.3">
      <c r="A90" s="415"/>
      <c r="B90" s="21"/>
      <c r="C90" s="21"/>
      <c r="D90" s="21"/>
      <c r="E90" s="21"/>
      <c r="F90" s="21"/>
      <c r="G90" s="22"/>
      <c r="H90" s="49">
        <f ca="1">ROUND(H48+H89,1)</f>
        <v>1241.4000000000001</v>
      </c>
      <c r="I90" s="23"/>
      <c r="J90" s="24"/>
      <c r="K90" s="23"/>
      <c r="L90" s="23"/>
      <c r="M90" s="23"/>
      <c r="N90" s="23"/>
      <c r="O90" s="36"/>
      <c r="P90" s="45"/>
      <c r="Q90" s="67">
        <f>Q48+Q89</f>
        <v>310</v>
      </c>
      <c r="R90" s="67">
        <f t="shared" ref="R90:T90" si="25">R48+R89</f>
        <v>59</v>
      </c>
      <c r="S90" s="67">
        <f t="shared" si="25"/>
        <v>369</v>
      </c>
      <c r="T90" s="67">
        <f t="shared" si="25"/>
        <v>369</v>
      </c>
    </row>
    <row r="91" spans="1:30" ht="18" customHeight="1" x14ac:dyDescent="0.25">
      <c r="M91" s="25"/>
    </row>
  </sheetData>
  <sheetProtection algorithmName="SHA-512" hashValue="6xYIC98CS19j+/agQhUQNIFW0vEzQ+6BW93ISP/nHwpajKjGjlKACcXHt16Fn4zfdumTBiZH2QWXXnPOE8S8kA==" saltValue="H7vMY7MtJnejtVZoUmcndA==" spinCount="100000" sheet="1" formatCells="0" formatRows="0" autoFilter="0"/>
  <mergeCells count="176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8 Z25:Z27 Z85:Z88 Z35:Z47">
    <cfRule type="expression" dxfId="75" priority="382">
      <formula>$G8=#REF!</formula>
    </cfRule>
    <cfRule type="expression" dxfId="74" priority="383">
      <formula>$G8=#REF!</formula>
    </cfRule>
    <cfRule type="expression" dxfId="73" priority="384">
      <formula>$G8=#REF!</formula>
    </cfRule>
    <cfRule type="expression" dxfId="72" priority="385">
      <formula>$G8=#REF!</formula>
    </cfRule>
  </conditionalFormatting>
  <conditionalFormatting sqref="Z9:Z11">
    <cfRule type="expression" dxfId="71" priority="348">
      <formula>$G9=#REF!</formula>
    </cfRule>
    <cfRule type="expression" dxfId="70" priority="349">
      <formula>$G9=#REF!</formula>
    </cfRule>
    <cfRule type="expression" dxfId="69" priority="350">
      <formula>$G9=#REF!</formula>
    </cfRule>
    <cfRule type="expression" dxfId="68" priority="351">
      <formula>$G9=#REF!</formula>
    </cfRule>
  </conditionalFormatting>
  <conditionalFormatting sqref="Z28:Z29">
    <cfRule type="expression" dxfId="67" priority="334">
      <formula>$G28=#REF!</formula>
    </cfRule>
    <cfRule type="expression" dxfId="66" priority="335">
      <formula>$G28=#REF!</formula>
    </cfRule>
    <cfRule type="expression" dxfId="65" priority="336">
      <formula>$G28=#REF!</formula>
    </cfRule>
    <cfRule type="expression" dxfId="64" priority="337">
      <formula>$G28=#REF!</formula>
    </cfRule>
  </conditionalFormatting>
  <conditionalFormatting sqref="Z49:Z68">
    <cfRule type="expression" dxfId="63" priority="320">
      <formula>$G49=#REF!</formula>
    </cfRule>
    <cfRule type="expression" dxfId="62" priority="321">
      <formula>$G49=#REF!</formula>
    </cfRule>
    <cfRule type="expression" dxfId="61" priority="322">
      <formula>$G49=#REF!</formula>
    </cfRule>
    <cfRule type="expression" dxfId="60" priority="323">
      <formula>$G49=#REF!</formula>
    </cfRule>
  </conditionalFormatting>
  <conditionalFormatting sqref="Z69:Z71">
    <cfRule type="expression" dxfId="59" priority="306">
      <formula>$G69=#REF!</formula>
    </cfRule>
    <cfRule type="expression" dxfId="58" priority="307">
      <formula>$G69=#REF!</formula>
    </cfRule>
    <cfRule type="expression" dxfId="57" priority="308">
      <formula>$G69=#REF!</formula>
    </cfRule>
    <cfRule type="expression" dxfId="56" priority="309">
      <formula>$G69=#REF!</formula>
    </cfRule>
  </conditionalFormatting>
  <conditionalFormatting sqref="K90">
    <cfRule type="cellIs" dxfId="55" priority="101" operator="equal">
      <formula>"Mut+ext"</formula>
    </cfRule>
  </conditionalFormatting>
  <conditionalFormatting sqref="K48 K89">
    <cfRule type="cellIs" dxfId="54" priority="116" operator="equal">
      <formula>"Mut+ext"</formula>
    </cfRule>
  </conditionalFormatting>
  <conditionalFormatting sqref="K8:K27">
    <cfRule type="cellIs" dxfId="53" priority="113" operator="equal">
      <formula>"Mut+ext"</formula>
    </cfRule>
  </conditionalFormatting>
  <conditionalFormatting sqref="K28:K47">
    <cfRule type="cellIs" dxfId="52" priority="111" operator="equal">
      <formula>"Mut+ext"</formula>
    </cfRule>
  </conditionalFormatting>
  <conditionalFormatting sqref="K49:K68">
    <cfRule type="cellIs" dxfId="51" priority="109" operator="equal">
      <formula>"Mut+ext"</formula>
    </cfRule>
  </conditionalFormatting>
  <conditionalFormatting sqref="K69:K71 K85:K88">
    <cfRule type="cellIs" dxfId="50" priority="107" operator="equal">
      <formula>"Mut+ext"</formula>
    </cfRule>
  </conditionalFormatting>
  <conditionalFormatting sqref="Z12:Z24">
    <cfRule type="expression" dxfId="49" priority="68">
      <formula>$G12=#REF!</formula>
    </cfRule>
    <cfRule type="expression" dxfId="48" priority="69">
      <formula>$G12=#REF!</formula>
    </cfRule>
    <cfRule type="expression" dxfId="47" priority="70">
      <formula>$G12=#REF!</formula>
    </cfRule>
    <cfRule type="expression" dxfId="46" priority="71">
      <formula>$G12=#REF!</formula>
    </cfRule>
  </conditionalFormatting>
  <conditionalFormatting sqref="Z30">
    <cfRule type="expression" dxfId="45" priority="64">
      <formula>$G30=#REF!</formula>
    </cfRule>
    <cfRule type="expression" dxfId="44" priority="65">
      <formula>$G30=#REF!</formula>
    </cfRule>
    <cfRule type="expression" dxfId="43" priority="66">
      <formula>$G30=#REF!</formula>
    </cfRule>
    <cfRule type="expression" dxfId="42" priority="67">
      <formula>$G30=#REF!</formula>
    </cfRule>
  </conditionalFormatting>
  <conditionalFormatting sqref="Z31:Z32">
    <cfRule type="expression" dxfId="41" priority="56">
      <formula>$G31=#REF!</formula>
    </cfRule>
    <cfRule type="expression" dxfId="40" priority="57">
      <formula>$G31=#REF!</formula>
    </cfRule>
    <cfRule type="expression" dxfId="39" priority="58">
      <formula>$G31=#REF!</formula>
    </cfRule>
    <cfRule type="expression" dxfId="38" priority="59">
      <formula>$G31=#REF!</formula>
    </cfRule>
  </conditionalFormatting>
  <conditionalFormatting sqref="Z33:Z34">
    <cfRule type="expression" dxfId="37" priority="52">
      <formula>$G33=#REF!</formula>
    </cfRule>
    <cfRule type="expression" dxfId="36" priority="53">
      <formula>$G33=#REF!</formula>
    </cfRule>
    <cfRule type="expression" dxfId="35" priority="54">
      <formula>$G33=#REF!</formula>
    </cfRule>
    <cfRule type="expression" dxfId="34" priority="55">
      <formula>$G33=#REF!</formula>
    </cfRule>
  </conditionalFormatting>
  <conditionalFormatting sqref="Z72:Z84">
    <cfRule type="expression" dxfId="33" priority="48">
      <formula>$G72=#REF!</formula>
    </cfRule>
    <cfRule type="expression" dxfId="32" priority="49">
      <formula>$G72=#REF!</formula>
    </cfRule>
    <cfRule type="expression" dxfId="31" priority="50">
      <formula>$G72=#REF!</formula>
    </cfRule>
    <cfRule type="expression" dxfId="30" priority="51">
      <formula>$G72=#REF!</formula>
    </cfRule>
  </conditionalFormatting>
  <conditionalFormatting sqref="K72:K84">
    <cfRule type="cellIs" dxfId="29" priority="46" operator="equal">
      <formula>"Mut+ext"</formula>
    </cfRule>
  </conditionalFormatting>
  <conditionalFormatting sqref="Y28:Y47">
    <cfRule type="cellIs" dxfId="28" priority="34" operator="notEqual">
      <formula>S28</formula>
    </cfRule>
  </conditionalFormatting>
  <conditionalFormatting sqref="Y49:Y68">
    <cfRule type="cellIs" dxfId="27" priority="32" operator="notEqual">
      <formula>S49</formula>
    </cfRule>
  </conditionalFormatting>
  <conditionalFormatting sqref="Y69:Y88">
    <cfRule type="cellIs" dxfId="26" priority="30" operator="notEqual">
      <formula>S69</formula>
    </cfRule>
  </conditionalFormatting>
  <conditionalFormatting sqref="Y8:Y27">
    <cfRule type="cellIs" dxfId="25" priority="24" operator="notEqual">
      <formula>S8</formula>
    </cfRule>
  </conditionalFormatting>
  <conditionalFormatting sqref="F8:F11 F24:F27 F13:F19">
    <cfRule type="expression" dxfId="24" priority="21">
      <formula>E8="obligatoire"</formula>
    </cfRule>
  </conditionalFormatting>
  <conditionalFormatting sqref="F28:F47">
    <cfRule type="expression" dxfId="23" priority="20">
      <formula>E28="obligatoire"</formula>
    </cfRule>
  </conditionalFormatting>
  <conditionalFormatting sqref="F61:F68">
    <cfRule type="expression" dxfId="22" priority="19">
      <formula>E61="obligatoire"</formula>
    </cfRule>
  </conditionalFormatting>
  <conditionalFormatting sqref="F69:F88">
    <cfRule type="expression" dxfId="21" priority="18">
      <formula>E69="obligatoire"</formula>
    </cfRule>
  </conditionalFormatting>
  <conditionalFormatting sqref="F12">
    <cfRule type="expression" dxfId="20" priority="14">
      <formula>E12="obligatoire"</formula>
    </cfRule>
  </conditionalFormatting>
  <conditionalFormatting sqref="F53:F59">
    <cfRule type="expression" dxfId="19" priority="13">
      <formula>E53="obligatoire"</formula>
    </cfRule>
  </conditionalFormatting>
  <conditionalFormatting sqref="F49:F51 F53:F54">
    <cfRule type="expression" dxfId="18" priority="12">
      <formula>E49="obligatoire"</formula>
    </cfRule>
  </conditionalFormatting>
  <conditionalFormatting sqref="F20:F21">
    <cfRule type="expression" dxfId="17" priority="11">
      <formula>E20="obligatoire"</formula>
    </cfRule>
  </conditionalFormatting>
  <conditionalFormatting sqref="F57">
    <cfRule type="expression" dxfId="16" priority="8">
      <formula>E57="obligatoire"</formula>
    </cfRule>
  </conditionalFormatting>
  <conditionalFormatting sqref="F57">
    <cfRule type="expression" dxfId="15" priority="7">
      <formula>E57="obligatoire"</formula>
    </cfRule>
  </conditionalFormatting>
  <conditionalFormatting sqref="F60">
    <cfRule type="expression" dxfId="14" priority="6">
      <formula>E60="obligatoire"</formula>
    </cfRule>
  </conditionalFormatting>
  <conditionalFormatting sqref="F23">
    <cfRule type="expression" dxfId="13" priority="5">
      <formula>E23="obligatoire"</formula>
    </cfRule>
  </conditionalFormatting>
  <conditionalFormatting sqref="F22">
    <cfRule type="expression" dxfId="12" priority="4">
      <formula>E22="obligatoire"</formula>
    </cfRule>
  </conditionalFormatting>
  <conditionalFormatting sqref="F22">
    <cfRule type="expression" dxfId="11" priority="3">
      <formula>E22="obligatoire"</formula>
    </cfRule>
  </conditionalFormatting>
  <conditionalFormatting sqref="F59">
    <cfRule type="expression" dxfId="10" priority="2">
      <formula>E59="obligatoire"</formula>
    </cfRule>
  </conditionalFormatting>
  <conditionalFormatting sqref="F52">
    <cfRule type="expression" dxfId="9" priority="1">
      <formula>E52="obligatoire"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zoomScale="64" zoomScaleNormal="64" workbookViewId="0">
      <pane ySplit="11" topLeftCell="A36" activePane="bottomLeft" state="frozen"/>
      <selection pane="bottomLeft" activeCell="D5" sqref="D5:E5"/>
    </sheetView>
  </sheetViews>
  <sheetFormatPr baseColWidth="10" defaultColWidth="11.54296875" defaultRowHeight="13" x14ac:dyDescent="0.25"/>
  <cols>
    <col min="1" max="1" width="3.1796875" style="69" customWidth="1"/>
    <col min="2" max="2" width="12.54296875" style="69" customWidth="1"/>
    <col min="3" max="3" width="24" style="69" customWidth="1"/>
    <col min="4" max="6" width="11.54296875" style="69"/>
    <col min="7" max="7" width="11.453125" style="69" customWidth="1"/>
    <col min="8" max="11" width="11.54296875" style="69"/>
    <col min="12" max="12" width="22.453125" style="69" customWidth="1"/>
    <col min="13" max="13" width="11.54296875" style="69" customWidth="1"/>
    <col min="14" max="14" width="24.453125" style="69" customWidth="1"/>
    <col min="15" max="15" width="9.81640625" style="69" customWidth="1"/>
    <col min="16" max="17" width="6.54296875" style="69" customWidth="1"/>
    <col min="18" max="16384" width="11.54296875" style="69"/>
  </cols>
  <sheetData>
    <row r="1" spans="1:17" ht="7.4" customHeight="1" thickBot="1" x14ac:dyDescent="0.3">
      <c r="H1" s="70"/>
      <c r="I1" s="71"/>
      <c r="J1" s="72"/>
      <c r="K1" s="70"/>
      <c r="L1" s="70"/>
    </row>
    <row r="2" spans="1:17" ht="28.4" customHeight="1" thickBot="1" x14ac:dyDescent="0.3">
      <c r="A2" s="73"/>
      <c r="B2" s="474" t="s">
        <v>78</v>
      </c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6"/>
    </row>
    <row r="3" spans="1:17" ht="12.65" customHeight="1" x14ac:dyDescent="0.25">
      <c r="F3" s="70"/>
      <c r="G3" s="70"/>
      <c r="H3" s="70"/>
      <c r="I3" s="70"/>
      <c r="J3" s="72"/>
      <c r="K3" s="70"/>
      <c r="L3" s="70"/>
    </row>
    <row r="4" spans="1:17" ht="22.4" customHeight="1" x14ac:dyDescent="0.25">
      <c r="C4" s="74" t="s">
        <v>79</v>
      </c>
      <c r="D4" s="471" t="s">
        <v>80</v>
      </c>
      <c r="E4" s="473"/>
      <c r="G4" s="74" t="s">
        <v>81</v>
      </c>
      <c r="H4" s="471" t="s">
        <v>82</v>
      </c>
      <c r="I4" s="472"/>
      <c r="J4" s="472"/>
      <c r="K4" s="473"/>
    </row>
    <row r="5" spans="1:17" ht="22.4" customHeight="1" x14ac:dyDescent="0.25">
      <c r="C5" s="75" t="s">
        <v>83</v>
      </c>
      <c r="D5" s="471">
        <v>34101</v>
      </c>
      <c r="E5" s="473"/>
      <c r="G5" s="74" t="s">
        <v>84</v>
      </c>
      <c r="H5" s="477" t="s">
        <v>85</v>
      </c>
      <c r="I5" s="478"/>
      <c r="J5" s="478"/>
      <c r="K5" s="479"/>
    </row>
    <row r="6" spans="1:17" ht="22.4" customHeight="1" x14ac:dyDescent="0.25">
      <c r="C6" s="469" t="s">
        <v>86</v>
      </c>
      <c r="D6" s="470"/>
      <c r="E6" s="76">
        <v>31</v>
      </c>
      <c r="G6" s="74" t="s">
        <v>87</v>
      </c>
      <c r="H6" s="471" t="s">
        <v>88</v>
      </c>
      <c r="I6" s="472"/>
      <c r="J6" s="472"/>
      <c r="K6" s="473"/>
      <c r="N6" s="77" t="s">
        <v>89</v>
      </c>
    </row>
    <row r="7" spans="1:17" ht="22.4" customHeight="1" x14ac:dyDescent="0.25">
      <c r="C7" s="469" t="s">
        <v>90</v>
      </c>
      <c r="D7" s="470"/>
      <c r="E7" s="76">
        <v>3</v>
      </c>
      <c r="G7" s="78" t="s">
        <v>91</v>
      </c>
      <c r="J7" s="79">
        <v>2022</v>
      </c>
      <c r="K7" s="79">
        <v>2023</v>
      </c>
    </row>
    <row r="8" spans="1:17" ht="18" customHeight="1" x14ac:dyDescent="0.25">
      <c r="E8" s="80"/>
      <c r="G8" s="81"/>
    </row>
    <row r="9" spans="1:17" ht="26.15" customHeight="1" x14ac:dyDescent="0.25">
      <c r="B9" s="482" t="s">
        <v>92</v>
      </c>
      <c r="C9" s="482"/>
      <c r="D9" s="482"/>
      <c r="E9" s="82">
        <f>'Budget détaillé'!J75</f>
        <v>-90809.4064516129</v>
      </c>
      <c r="F9" s="483" t="s">
        <v>93</v>
      </c>
      <c r="G9" s="483"/>
      <c r="H9" s="83"/>
      <c r="I9" s="84" t="s">
        <v>94</v>
      </c>
      <c r="J9" s="82">
        <f>'Recettes et simulat'!J28+'Recettes et simulat'!F39-'Budget détaillé'!K62</f>
        <v>9275.0564516129034</v>
      </c>
    </row>
    <row r="10" spans="1:17" ht="22.4" customHeight="1" x14ac:dyDescent="0.25">
      <c r="B10" s="482" t="s">
        <v>95</v>
      </c>
      <c r="C10" s="482"/>
      <c r="D10" s="482"/>
      <c r="E10" s="82">
        <f>E9+J9</f>
        <v>-81534.349999999991</v>
      </c>
      <c r="F10" s="483"/>
      <c r="G10" s="483"/>
      <c r="H10" s="484" t="s">
        <v>96</v>
      </c>
      <c r="I10" s="485"/>
      <c r="J10" s="82">
        <f>'Budget détaillé'!K63</f>
        <v>4033.3145161290322</v>
      </c>
    </row>
    <row r="11" spans="1:17" ht="17.149999999999999" customHeight="1" thickBot="1" x14ac:dyDescent="0.3"/>
    <row r="12" spans="1:17" ht="18.649999999999999" customHeight="1" thickBot="1" x14ac:dyDescent="0.3">
      <c r="B12" s="486" t="s">
        <v>97</v>
      </c>
      <c r="C12" s="487"/>
      <c r="D12" s="487"/>
      <c r="E12" s="487"/>
      <c r="F12" s="487"/>
      <c r="G12" s="487"/>
      <c r="H12" s="487"/>
      <c r="I12" s="487"/>
      <c r="J12" s="487"/>
      <c r="K12" s="487"/>
      <c r="L12" s="487"/>
      <c r="M12" s="488"/>
    </row>
    <row r="13" spans="1:17" ht="13.5" thickBot="1" x14ac:dyDescent="0.3"/>
    <row r="14" spans="1:17" ht="39.5" thickBot="1" x14ac:dyDescent="0.3">
      <c r="B14" s="85" t="s">
        <v>98</v>
      </c>
      <c r="C14" s="86" t="s">
        <v>99</v>
      </c>
      <c r="D14" s="86" t="s">
        <v>13</v>
      </c>
      <c r="E14" s="86" t="s">
        <v>100</v>
      </c>
      <c r="F14" s="86" t="s">
        <v>101</v>
      </c>
      <c r="G14" s="86" t="s">
        <v>0</v>
      </c>
      <c r="H14" s="87" t="s">
        <v>102</v>
      </c>
      <c r="I14" s="86" t="s">
        <v>103</v>
      </c>
      <c r="J14" s="86" t="s">
        <v>104</v>
      </c>
      <c r="K14" s="86" t="s">
        <v>105</v>
      </c>
      <c r="L14" s="489" t="s">
        <v>106</v>
      </c>
      <c r="M14" s="476"/>
      <c r="O14" s="88" t="s">
        <v>107</v>
      </c>
      <c r="P14" s="88">
        <v>250</v>
      </c>
      <c r="Q14" s="88">
        <v>400</v>
      </c>
    </row>
    <row r="15" spans="1:17" ht="20.5" customHeight="1" x14ac:dyDescent="0.25">
      <c r="B15" s="490" t="s">
        <v>108</v>
      </c>
      <c r="C15" s="491"/>
      <c r="D15" s="491"/>
      <c r="E15" s="491"/>
      <c r="F15" s="491"/>
      <c r="G15" s="491"/>
      <c r="H15" s="491"/>
      <c r="I15" s="491"/>
      <c r="J15" s="491"/>
      <c r="K15" s="491"/>
      <c r="L15" s="491"/>
      <c r="M15" s="492"/>
      <c r="O15" s="88" t="s">
        <v>109</v>
      </c>
      <c r="P15" s="88">
        <v>400</v>
      </c>
      <c r="Q15" s="88"/>
    </row>
    <row r="16" spans="1:17" ht="17.149999999999999" customHeight="1" thickBot="1" x14ac:dyDescent="0.3">
      <c r="B16" s="493" t="s">
        <v>110</v>
      </c>
      <c r="C16" s="494"/>
      <c r="D16" s="89"/>
      <c r="E16" s="423">
        <v>243</v>
      </c>
      <c r="F16" s="91">
        <f>E6-E7</f>
        <v>28</v>
      </c>
      <c r="G16" s="92">
        <f>E16*F16</f>
        <v>6804</v>
      </c>
      <c r="H16" s="93"/>
      <c r="I16" s="94"/>
      <c r="J16" s="94"/>
      <c r="K16" s="95"/>
      <c r="L16" s="94"/>
      <c r="M16" s="96"/>
    </row>
    <row r="17" spans="2:13" ht="21" customHeight="1" x14ac:dyDescent="0.25">
      <c r="B17" s="490" t="s">
        <v>111</v>
      </c>
      <c r="C17" s="491"/>
      <c r="D17" s="491"/>
      <c r="E17" s="491"/>
      <c r="F17" s="491"/>
      <c r="G17" s="491"/>
      <c r="H17" s="491"/>
      <c r="I17" s="491"/>
      <c r="J17" s="491"/>
      <c r="K17" s="491"/>
      <c r="L17" s="491"/>
      <c r="M17" s="492"/>
    </row>
    <row r="18" spans="2:13" x14ac:dyDescent="0.25">
      <c r="B18" s="97" t="s">
        <v>112</v>
      </c>
      <c r="C18" s="98" t="s">
        <v>109</v>
      </c>
      <c r="D18" s="76">
        <v>402</v>
      </c>
      <c r="E18" s="90">
        <v>7500</v>
      </c>
      <c r="F18" s="76">
        <v>3</v>
      </c>
      <c r="G18" s="92">
        <f>E18*F18</f>
        <v>22500</v>
      </c>
      <c r="H18" s="92">
        <f t="shared" ref="H18:H27" si="0">IF(D18=0,0,E18/D18)</f>
        <v>18.656716417910449</v>
      </c>
      <c r="I18" s="99">
        <v>0.05</v>
      </c>
      <c r="J18" s="92">
        <f>G18*(1-I18)</f>
        <v>21375</v>
      </c>
      <c r="K18" s="92">
        <f t="shared" ref="K18:K27" si="1">IF((D18*F18)=0,0,J18/(D18*F18))</f>
        <v>17.723880597014926</v>
      </c>
      <c r="L18" s="480"/>
      <c r="M18" s="481"/>
    </row>
    <row r="19" spans="2:13" x14ac:dyDescent="0.25">
      <c r="B19" s="97" t="s">
        <v>113</v>
      </c>
      <c r="C19" s="98"/>
      <c r="D19" s="76"/>
      <c r="E19" s="90"/>
      <c r="F19" s="76"/>
      <c r="G19" s="92">
        <f t="shared" ref="G19:G27" si="2">E19*F19</f>
        <v>0</v>
      </c>
      <c r="H19" s="92">
        <f t="shared" si="0"/>
        <v>0</v>
      </c>
      <c r="I19" s="99"/>
      <c r="J19" s="92">
        <f t="shared" ref="J19:J27" si="3">G19*(1-I19)</f>
        <v>0</v>
      </c>
      <c r="K19" s="92">
        <f t="shared" si="1"/>
        <v>0</v>
      </c>
      <c r="L19" s="480"/>
      <c r="M19" s="481"/>
    </row>
    <row r="20" spans="2:13" x14ac:dyDescent="0.25">
      <c r="B20" s="97" t="s">
        <v>114</v>
      </c>
      <c r="C20" s="98"/>
      <c r="D20" s="76"/>
      <c r="E20" s="90"/>
      <c r="F20" s="76"/>
      <c r="G20" s="92">
        <f t="shared" si="2"/>
        <v>0</v>
      </c>
      <c r="H20" s="92">
        <f t="shared" si="0"/>
        <v>0</v>
      </c>
      <c r="I20" s="99"/>
      <c r="J20" s="92">
        <f t="shared" si="3"/>
        <v>0</v>
      </c>
      <c r="K20" s="92">
        <f t="shared" si="1"/>
        <v>0</v>
      </c>
      <c r="L20" s="480"/>
      <c r="M20" s="481"/>
    </row>
    <row r="21" spans="2:13" x14ac:dyDescent="0.25">
      <c r="B21" s="97" t="s">
        <v>115</v>
      </c>
      <c r="C21" s="98"/>
      <c r="D21" s="76"/>
      <c r="E21" s="90"/>
      <c r="F21" s="76"/>
      <c r="G21" s="92">
        <f t="shared" si="2"/>
        <v>0</v>
      </c>
      <c r="H21" s="92">
        <f t="shared" si="0"/>
        <v>0</v>
      </c>
      <c r="I21" s="99"/>
      <c r="J21" s="92">
        <f t="shared" si="3"/>
        <v>0</v>
      </c>
      <c r="K21" s="92">
        <f t="shared" si="1"/>
        <v>0</v>
      </c>
      <c r="L21" s="480"/>
      <c r="M21" s="481"/>
    </row>
    <row r="22" spans="2:13" x14ac:dyDescent="0.25">
      <c r="B22" s="97" t="s">
        <v>116</v>
      </c>
      <c r="C22" s="98"/>
      <c r="D22" s="76"/>
      <c r="E22" s="90"/>
      <c r="F22" s="76"/>
      <c r="G22" s="92">
        <f t="shared" si="2"/>
        <v>0</v>
      </c>
      <c r="H22" s="92">
        <f t="shared" si="0"/>
        <v>0</v>
      </c>
      <c r="I22" s="99"/>
      <c r="J22" s="92">
        <f t="shared" si="3"/>
        <v>0</v>
      </c>
      <c r="K22" s="92">
        <f t="shared" si="1"/>
        <v>0</v>
      </c>
      <c r="L22" s="480"/>
      <c r="M22" s="481"/>
    </row>
    <row r="23" spans="2:13" x14ac:dyDescent="0.25">
      <c r="B23" s="97" t="s">
        <v>117</v>
      </c>
      <c r="C23" s="98"/>
      <c r="D23" s="76"/>
      <c r="E23" s="90"/>
      <c r="F23" s="76"/>
      <c r="G23" s="92">
        <f t="shared" si="2"/>
        <v>0</v>
      </c>
      <c r="H23" s="92">
        <f t="shared" si="0"/>
        <v>0</v>
      </c>
      <c r="I23" s="99"/>
      <c r="J23" s="92">
        <f t="shared" si="3"/>
        <v>0</v>
      </c>
      <c r="K23" s="92">
        <f t="shared" si="1"/>
        <v>0</v>
      </c>
      <c r="L23" s="480"/>
      <c r="M23" s="481"/>
    </row>
    <row r="24" spans="2:13" x14ac:dyDescent="0.25">
      <c r="B24" s="97" t="s">
        <v>118</v>
      </c>
      <c r="C24" s="98"/>
      <c r="D24" s="76"/>
      <c r="E24" s="90"/>
      <c r="F24" s="76"/>
      <c r="G24" s="92">
        <f t="shared" si="2"/>
        <v>0</v>
      </c>
      <c r="H24" s="92">
        <f t="shared" si="0"/>
        <v>0</v>
      </c>
      <c r="I24" s="99"/>
      <c r="J24" s="92">
        <f t="shared" si="3"/>
        <v>0</v>
      </c>
      <c r="K24" s="92">
        <f t="shared" si="1"/>
        <v>0</v>
      </c>
      <c r="L24" s="480"/>
      <c r="M24" s="481"/>
    </row>
    <row r="25" spans="2:13" x14ac:dyDescent="0.25">
      <c r="B25" s="97" t="s">
        <v>119</v>
      </c>
      <c r="C25" s="98"/>
      <c r="D25" s="76"/>
      <c r="E25" s="90"/>
      <c r="F25" s="76"/>
      <c r="G25" s="92">
        <f t="shared" si="2"/>
        <v>0</v>
      </c>
      <c r="H25" s="92">
        <f t="shared" si="0"/>
        <v>0</v>
      </c>
      <c r="I25" s="99"/>
      <c r="J25" s="92">
        <f t="shared" si="3"/>
        <v>0</v>
      </c>
      <c r="K25" s="92">
        <f t="shared" si="1"/>
        <v>0</v>
      </c>
      <c r="L25" s="480"/>
      <c r="M25" s="481"/>
    </row>
    <row r="26" spans="2:13" x14ac:dyDescent="0.25">
      <c r="B26" s="97" t="s">
        <v>120</v>
      </c>
      <c r="C26" s="98"/>
      <c r="D26" s="76"/>
      <c r="E26" s="90"/>
      <c r="F26" s="76"/>
      <c r="G26" s="92">
        <f t="shared" si="2"/>
        <v>0</v>
      </c>
      <c r="H26" s="92">
        <f t="shared" si="0"/>
        <v>0</v>
      </c>
      <c r="I26" s="99"/>
      <c r="J26" s="92">
        <f t="shared" si="3"/>
        <v>0</v>
      </c>
      <c r="K26" s="92">
        <f t="shared" si="1"/>
        <v>0</v>
      </c>
      <c r="L26" s="480"/>
      <c r="M26" s="481"/>
    </row>
    <row r="27" spans="2:13" x14ac:dyDescent="0.25">
      <c r="B27" s="100" t="s">
        <v>121</v>
      </c>
      <c r="C27" s="101"/>
      <c r="D27" s="76"/>
      <c r="E27" s="102"/>
      <c r="F27" s="76"/>
      <c r="G27" s="92">
        <f t="shared" si="2"/>
        <v>0</v>
      </c>
      <c r="H27" s="92">
        <f t="shared" si="0"/>
        <v>0</v>
      </c>
      <c r="I27" s="99"/>
      <c r="J27" s="92">
        <f t="shared" si="3"/>
        <v>0</v>
      </c>
      <c r="K27" s="92">
        <f t="shared" si="1"/>
        <v>0</v>
      </c>
      <c r="L27" s="480"/>
      <c r="M27" s="481"/>
    </row>
    <row r="28" spans="2:13" ht="13.5" thickBot="1" x14ac:dyDescent="0.3">
      <c r="B28" s="500" t="s">
        <v>122</v>
      </c>
      <c r="C28" s="501"/>
      <c r="D28" s="103"/>
      <c r="E28" s="104"/>
      <c r="F28" s="103">
        <f>SUM(F18:F27)</f>
        <v>3</v>
      </c>
      <c r="G28" s="105">
        <f>SUM(G18:G27)</f>
        <v>22500</v>
      </c>
      <c r="H28" s="106">
        <f>IF(SUMPRODUCT(F18:F27,D18:D27)=0,0,G28/SUMPRODUCT(F18:F27,D18:D27))</f>
        <v>18.656716417910449</v>
      </c>
      <c r="I28" s="103"/>
      <c r="J28" s="105">
        <f>SUM(J18:J27)</f>
        <v>21375</v>
      </c>
      <c r="K28" s="105">
        <f>IF(D28=0,0,IF(SUMPRODUCT(F18:F27,D18:D27)=0,0,J28/SUMPRODUCT(F18:F27,D18:D27)))</f>
        <v>0</v>
      </c>
      <c r="L28" s="502"/>
      <c r="M28" s="503"/>
    </row>
    <row r="29" spans="2:13" x14ac:dyDescent="0.25">
      <c r="B29" s="78"/>
      <c r="C29" s="78"/>
      <c r="D29" s="75"/>
      <c r="E29" s="81"/>
      <c r="F29" s="75"/>
      <c r="G29" s="107"/>
      <c r="H29" s="107"/>
      <c r="I29" s="81"/>
      <c r="J29" s="107"/>
      <c r="K29" s="107"/>
      <c r="L29" s="107"/>
      <c r="M29" s="81"/>
    </row>
    <row r="30" spans="2:13" ht="13.5" thickBot="1" x14ac:dyDescent="0.3"/>
    <row r="31" spans="2:13" ht="18.649999999999999" customHeight="1" thickBot="1" x14ac:dyDescent="0.3">
      <c r="B31" s="486" t="s">
        <v>123</v>
      </c>
      <c r="C31" s="487"/>
      <c r="D31" s="487"/>
      <c r="E31" s="487"/>
      <c r="F31" s="487"/>
      <c r="G31" s="487"/>
      <c r="H31" s="487"/>
      <c r="I31" s="487"/>
      <c r="J31" s="487"/>
      <c r="K31" s="487"/>
      <c r="L31" s="487"/>
      <c r="M31" s="488"/>
    </row>
    <row r="32" spans="2:13" ht="13.5" thickBot="1" x14ac:dyDescent="0.3"/>
    <row r="33" spans="2:13" ht="21" customHeight="1" x14ac:dyDescent="0.25">
      <c r="B33" s="495" t="s">
        <v>124</v>
      </c>
      <c r="C33" s="496"/>
      <c r="D33" s="497"/>
      <c r="E33" s="108" t="s">
        <v>125</v>
      </c>
      <c r="F33" s="108" t="s">
        <v>126</v>
      </c>
      <c r="G33" s="498" t="s">
        <v>127</v>
      </c>
      <c r="H33" s="496"/>
      <c r="I33" s="496"/>
      <c r="J33" s="496"/>
      <c r="K33" s="499"/>
    </row>
    <row r="34" spans="2:13" x14ac:dyDescent="0.25">
      <c r="B34" s="504"/>
      <c r="C34" s="505"/>
      <c r="D34" s="505"/>
      <c r="E34" s="98"/>
      <c r="F34" s="90"/>
      <c r="G34" s="506"/>
      <c r="H34" s="506"/>
      <c r="I34" s="506"/>
      <c r="J34" s="506"/>
      <c r="K34" s="507"/>
    </row>
    <row r="35" spans="2:13" x14ac:dyDescent="0.25">
      <c r="B35" s="504"/>
      <c r="C35" s="505"/>
      <c r="D35" s="505"/>
      <c r="E35" s="98"/>
      <c r="F35" s="90"/>
      <c r="G35" s="506"/>
      <c r="H35" s="506"/>
      <c r="I35" s="506"/>
      <c r="J35" s="506"/>
      <c r="K35" s="507"/>
    </row>
    <row r="36" spans="2:13" x14ac:dyDescent="0.25">
      <c r="B36" s="504"/>
      <c r="C36" s="505"/>
      <c r="D36" s="505"/>
      <c r="E36" s="98"/>
      <c r="F36" s="90"/>
      <c r="G36" s="506"/>
      <c r="H36" s="506"/>
      <c r="I36" s="506"/>
      <c r="J36" s="506"/>
      <c r="K36" s="507"/>
    </row>
    <row r="37" spans="2:13" x14ac:dyDescent="0.25">
      <c r="B37" s="508"/>
      <c r="C37" s="509"/>
      <c r="D37" s="509"/>
      <c r="E37" s="98"/>
      <c r="F37" s="90"/>
      <c r="G37" s="506"/>
      <c r="H37" s="506"/>
      <c r="I37" s="506"/>
      <c r="J37" s="506"/>
      <c r="K37" s="507"/>
    </row>
    <row r="38" spans="2:13" x14ac:dyDescent="0.25">
      <c r="B38" s="508"/>
      <c r="C38" s="509"/>
      <c r="D38" s="509"/>
      <c r="E38" s="98"/>
      <c r="F38" s="90"/>
      <c r="G38" s="506"/>
      <c r="H38" s="506"/>
      <c r="I38" s="506"/>
      <c r="J38" s="506"/>
      <c r="K38" s="507"/>
    </row>
    <row r="39" spans="2:13" ht="13.5" thickBot="1" x14ac:dyDescent="0.3">
      <c r="B39" s="510" t="s">
        <v>128</v>
      </c>
      <c r="C39" s="511"/>
      <c r="D39" s="511"/>
      <c r="E39" s="511"/>
      <c r="F39" s="109">
        <f>SUM(F34:F38)</f>
        <v>0</v>
      </c>
      <c r="G39" s="512"/>
      <c r="H39" s="513"/>
      <c r="I39" s="513"/>
      <c r="J39" s="513"/>
      <c r="K39" s="514"/>
      <c r="L39" s="81"/>
      <c r="M39" s="81"/>
    </row>
    <row r="40" spans="2:13" x14ac:dyDescent="0.25">
      <c r="F40" s="70"/>
    </row>
    <row r="41" spans="2:13" ht="32.5" customHeight="1" x14ac:dyDescent="0.25"/>
  </sheetData>
  <sheetProtection algorithmName="SHA-512" hashValue="JNZKlBCo/7/AXpieEgajDiSTXopB2NS5vlvr7x+OxMDG0wuiIS/fkTCwIpn6T5b0/jgSpBaV1VOR7AVygC98TQ==" saltValue="i/KWdd0tzqrEbNO2fbTCOQ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80" zoomScaleNormal="80" zoomScaleSheetLayoutView="70" workbookViewId="0">
      <pane ySplit="9" topLeftCell="A74" activePane="bottomLeft" state="frozen"/>
      <selection pane="bottomLeft" activeCell="G13" sqref="G13"/>
    </sheetView>
  </sheetViews>
  <sheetFormatPr baseColWidth="10" defaultColWidth="11.453125" defaultRowHeight="12.5" outlineLevelRow="2" outlineLevelCol="1" x14ac:dyDescent="0.25"/>
  <cols>
    <col min="1" max="1" width="1.453125" customWidth="1"/>
    <col min="2" max="2" width="5.54296875" customWidth="1"/>
    <col min="3" max="3" width="14.54296875" customWidth="1"/>
    <col min="4" max="4" width="16.453125" customWidth="1"/>
    <col min="5" max="5" width="14.54296875" customWidth="1"/>
    <col min="6" max="6" width="4.54296875" customWidth="1"/>
    <col min="7" max="7" width="10.54296875" customWidth="1"/>
    <col min="8" max="11" width="11" customWidth="1"/>
    <col min="12" max="16" width="11" hidden="1" customWidth="1" outlineLevel="1"/>
    <col min="17" max="17" width="9.453125" customWidth="1" collapsed="1"/>
    <col min="18" max="18" width="6.81640625" customWidth="1"/>
    <col min="19" max="19" width="6.81640625" bestFit="1" customWidth="1"/>
    <col min="20" max="20" width="11.453125" bestFit="1" customWidth="1"/>
    <col min="21" max="21" width="24.54296875" bestFit="1" customWidth="1"/>
  </cols>
  <sheetData>
    <row r="1" spans="1:22" ht="7.4" customHeight="1" thickBot="1" x14ac:dyDescent="0.3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4" customHeight="1" thickBot="1" x14ac:dyDescent="0.3">
      <c r="A2" s="73"/>
      <c r="B2" s="474" t="s">
        <v>129</v>
      </c>
      <c r="C2" s="475"/>
      <c r="D2" s="475"/>
      <c r="E2" s="475"/>
      <c r="F2" s="475"/>
      <c r="G2" s="475"/>
      <c r="H2" s="475"/>
      <c r="I2" s="475"/>
      <c r="J2" s="475"/>
      <c r="K2" s="476"/>
      <c r="L2" s="474" t="s">
        <v>130</v>
      </c>
      <c r="M2" s="475"/>
      <c r="N2" s="475"/>
      <c r="O2" s="475"/>
      <c r="P2" s="476"/>
      <c r="Q2" s="69"/>
      <c r="R2" s="69"/>
      <c r="S2" s="73"/>
      <c r="T2" s="73"/>
      <c r="U2" s="73"/>
      <c r="V2" s="73"/>
    </row>
    <row r="3" spans="1:22" ht="6.75" customHeight="1" x14ac:dyDescent="0.2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2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4" customHeight="1" x14ac:dyDescent="0.25">
      <c r="A5" s="73"/>
      <c r="B5" s="73"/>
      <c r="C5" s="114" t="s">
        <v>79</v>
      </c>
      <c r="D5" s="515" t="str">
        <f>'Recettes et simulat'!D4</f>
        <v>Université Lumière Lyon 2</v>
      </c>
      <c r="E5" s="516"/>
      <c r="F5" s="73"/>
      <c r="G5" s="114" t="s">
        <v>81</v>
      </c>
      <c r="H5" s="515" t="str">
        <f>'Recettes et simulat'!H4</f>
        <v>Master</v>
      </c>
      <c r="I5" s="517"/>
      <c r="J5" s="517"/>
      <c r="K5" s="516"/>
      <c r="L5" s="110"/>
      <c r="M5" s="110"/>
      <c r="N5" s="110"/>
      <c r="O5" s="110"/>
      <c r="P5" s="110"/>
      <c r="Q5" s="69"/>
      <c r="R5" s="69"/>
      <c r="S5" s="73"/>
      <c r="T5" s="73"/>
      <c r="U5" s="77" t="s">
        <v>89</v>
      </c>
      <c r="V5" s="73"/>
    </row>
    <row r="6" spans="1:22" ht="22.4" customHeight="1" x14ac:dyDescent="0.25">
      <c r="A6" s="73"/>
      <c r="B6" s="73"/>
      <c r="C6" s="113" t="s">
        <v>83</v>
      </c>
      <c r="D6" s="515">
        <f>'Recettes et simulat'!D5</f>
        <v>34101</v>
      </c>
      <c r="E6" s="516"/>
      <c r="F6" s="73"/>
      <c r="G6" s="114" t="s">
        <v>131</v>
      </c>
      <c r="H6" s="515" t="str">
        <f>'Recettes et simulat'!H5</f>
        <v xml:space="preserve">Mention LEA_
Parcours : Master CILA - Marketing &amp; Digital Business, Commerce International et Langues Appliquées </v>
      </c>
      <c r="I6" s="517"/>
      <c r="J6" s="517"/>
      <c r="K6" s="516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4" customHeight="1" x14ac:dyDescent="0.25">
      <c r="A7" s="73"/>
      <c r="B7" s="73"/>
      <c r="C7" s="115" t="s">
        <v>86</v>
      </c>
      <c r="D7" s="116"/>
      <c r="E7" s="117">
        <f>'Recettes et simulat'!E6</f>
        <v>31</v>
      </c>
      <c r="F7" s="73"/>
      <c r="G7" s="114" t="s">
        <v>87</v>
      </c>
      <c r="H7" s="515" t="str">
        <f>'Recettes et simulat'!H6</f>
        <v>LANG - Langues</v>
      </c>
      <c r="I7" s="517"/>
      <c r="J7" s="517"/>
      <c r="K7" s="516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4" customHeight="1" x14ac:dyDescent="0.25">
      <c r="A8" s="73"/>
      <c r="B8" s="73"/>
      <c r="C8" s="115" t="s">
        <v>90</v>
      </c>
      <c r="D8" s="116"/>
      <c r="E8" s="117">
        <f>'Recettes et simulat'!E7</f>
        <v>3</v>
      </c>
      <c r="F8" s="73"/>
      <c r="G8" s="78" t="s">
        <v>91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4" customHeight="1" x14ac:dyDescent="0.2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7.149999999999999" customHeight="1" thickBot="1" x14ac:dyDescent="0.3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5" customHeight="1" thickBot="1" x14ac:dyDescent="0.3">
      <c r="A11" s="73"/>
      <c r="B11" s="474" t="s">
        <v>132</v>
      </c>
      <c r="C11" s="475"/>
      <c r="D11" s="475"/>
      <c r="E11" s="475"/>
      <c r="F11" s="475"/>
      <c r="G11" s="475"/>
      <c r="H11" s="475"/>
      <c r="I11" s="475"/>
      <c r="J11" s="475"/>
      <c r="K11" s="476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5" customHeight="1" thickBot="1" x14ac:dyDescent="0.3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5.5" thickBot="1" x14ac:dyDescent="0.3">
      <c r="B13" s="132" t="s">
        <v>133</v>
      </c>
      <c r="C13" s="521" t="s">
        <v>134</v>
      </c>
      <c r="D13" s="522"/>
      <c r="E13" s="522"/>
      <c r="F13" s="523"/>
      <c r="G13" s="133" t="s">
        <v>135</v>
      </c>
      <c r="H13" s="134" t="s">
        <v>136</v>
      </c>
      <c r="I13" s="134" t="s">
        <v>137</v>
      </c>
      <c r="J13" s="135" t="s">
        <v>138</v>
      </c>
      <c r="K13" s="136" t="s">
        <v>139</v>
      </c>
      <c r="L13" s="137" t="s">
        <v>140</v>
      </c>
      <c r="M13" s="138" t="s">
        <v>141</v>
      </c>
      <c r="N13" s="138" t="s">
        <v>142</v>
      </c>
      <c r="O13" s="139" t="s">
        <v>143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5" customHeight="1" thickBot="1" x14ac:dyDescent="0.3">
      <c r="B14" s="143" t="s">
        <v>144</v>
      </c>
      <c r="C14" s="144"/>
      <c r="D14" s="145"/>
      <c r="E14" s="145"/>
      <c r="F14" s="145"/>
      <c r="G14" s="146">
        <f>G20+G27+G32</f>
        <v>385</v>
      </c>
      <c r="H14" s="147">
        <f>IF(G20+G27+G32=0,0,(I20+I27+I32)/(G20+G27+G32))</f>
        <v>129.06324675324677</v>
      </c>
      <c r="I14" s="148">
        <f>I20+I32+I27</f>
        <v>49689.350000000006</v>
      </c>
      <c r="J14" s="149">
        <f>J20+J32+J27</f>
        <v>44727.470967741931</v>
      </c>
      <c r="K14" s="150">
        <f>K20+K32+K27</f>
        <v>4961.8790322580644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0.23213469156762875</v>
      </c>
      <c r="R14" s="153" t="s">
        <v>145</v>
      </c>
      <c r="S14" s="73"/>
      <c r="T14" s="69"/>
      <c r="U14" s="69"/>
      <c r="V14" s="73"/>
    </row>
    <row r="15" spans="1:22" s="73" customFormat="1" ht="17.149999999999999" customHeight="1" outlineLevel="1" x14ac:dyDescent="0.25">
      <c r="B15" s="154" t="s">
        <v>146</v>
      </c>
      <c r="C15" s="155" t="s">
        <v>147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411"/>
      <c r="R15" s="171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128</v>
      </c>
      <c r="S15" s="88"/>
      <c r="T15" s="163"/>
      <c r="U15" s="88"/>
      <c r="V15" s="121"/>
    </row>
    <row r="16" spans="1:22" s="121" customFormat="1" ht="17.149999999999999" customHeight="1" outlineLevel="1" x14ac:dyDescent="0.25">
      <c r="B16" s="164" t="s">
        <v>148</v>
      </c>
      <c r="C16" s="518" t="s">
        <v>23</v>
      </c>
      <c r="D16" s="519"/>
      <c r="E16" s="519"/>
      <c r="F16" s="520"/>
      <c r="G16" s="117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158</v>
      </c>
      <c r="H16" s="166">
        <v>218</v>
      </c>
      <c r="I16" s="167">
        <f>H16*G16</f>
        <v>34444</v>
      </c>
      <c r="J16" s="167">
        <f>I16-K16</f>
        <v>31110.709677419356</v>
      </c>
      <c r="K16" s="168">
        <f>IF($E$7=0,0,I16/$E$7*$E$8)</f>
        <v>3333.2903225806449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142.70967741935485</v>
      </c>
      <c r="R16" s="171"/>
      <c r="S16" s="171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158</v>
      </c>
      <c r="T16" s="171"/>
      <c r="U16" s="171"/>
      <c r="V16" s="172"/>
    </row>
    <row r="17" spans="2:23" s="121" customFormat="1" ht="17.149999999999999" customHeight="1" outlineLevel="1" x14ac:dyDescent="0.25">
      <c r="B17" s="164" t="s">
        <v>149</v>
      </c>
      <c r="C17" s="518" t="s">
        <v>24</v>
      </c>
      <c r="D17" s="519"/>
      <c r="E17" s="519"/>
      <c r="F17" s="520"/>
      <c r="G17" s="117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0</v>
      </c>
      <c r="H17" s="166">
        <v>110</v>
      </c>
      <c r="I17" s="173">
        <f>H17*G17</f>
        <v>0</v>
      </c>
      <c r="J17" s="167">
        <f t="shared" ref="J17:J19" si="1">I17-K17</f>
        <v>0</v>
      </c>
      <c r="K17" s="168">
        <f t="shared" ref="K17:K19" si="2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/>
      <c r="S17" s="171"/>
    </row>
    <row r="18" spans="2:23" s="121" customFormat="1" ht="17.149999999999999" customHeight="1" outlineLevel="1" x14ac:dyDescent="0.25">
      <c r="B18" s="164" t="s">
        <v>150</v>
      </c>
      <c r="C18" s="518" t="s">
        <v>151</v>
      </c>
      <c r="D18" s="519"/>
      <c r="E18" s="519"/>
      <c r="F18" s="520"/>
      <c r="G18" s="117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128</v>
      </c>
      <c r="H18" s="166">
        <v>56</v>
      </c>
      <c r="I18" s="173">
        <f>H18*G18</f>
        <v>7168</v>
      </c>
      <c r="J18" s="167">
        <f t="shared" si="1"/>
        <v>6474.322580645161</v>
      </c>
      <c r="K18" s="168">
        <f t="shared" si="2"/>
        <v>693.67741935483866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115.61290322580645</v>
      </c>
      <c r="R18" s="171">
        <f>G18</f>
        <v>128</v>
      </c>
      <c r="S18" s="412">
        <f>R18*H18</f>
        <v>7168</v>
      </c>
      <c r="T18" s="171"/>
      <c r="V18" s="172"/>
    </row>
    <row r="19" spans="2:23" s="121" customFormat="1" ht="18.649999999999999" customHeight="1" outlineLevel="1" x14ac:dyDescent="0.25">
      <c r="B19" s="164" t="s">
        <v>152</v>
      </c>
      <c r="C19" s="518" t="s">
        <v>153</v>
      </c>
      <c r="D19" s="519"/>
      <c r="E19" s="519"/>
      <c r="F19" s="520"/>
      <c r="G19" s="117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28</v>
      </c>
      <c r="H19" s="175">
        <v>18.850000000000001</v>
      </c>
      <c r="I19" s="173">
        <f t="shared" ref="I19" si="3">H19*G19</f>
        <v>527.80000000000007</v>
      </c>
      <c r="J19" s="167">
        <f t="shared" si="1"/>
        <v>476.72258064516137</v>
      </c>
      <c r="K19" s="168">
        <f t="shared" si="2"/>
        <v>51.07741935483871</v>
      </c>
      <c r="L19" s="169"/>
      <c r="M19" s="169"/>
      <c r="N19" s="176"/>
      <c r="O19" s="79"/>
      <c r="P19" s="174">
        <f>SUM(L19:O19)</f>
        <v>0</v>
      </c>
      <c r="Q19" s="196">
        <f>IF($I19=0,0,$G19*$J19/$I19)</f>
        <v>25.29032258064516</v>
      </c>
      <c r="R19" s="171"/>
      <c r="S19" s="171"/>
      <c r="T19" s="171"/>
      <c r="U19" s="171"/>
      <c r="V19" s="172"/>
    </row>
    <row r="20" spans="2:23" s="121" customFormat="1" ht="22.4" customHeight="1" outlineLevel="1" thickBot="1" x14ac:dyDescent="0.3">
      <c r="B20" s="524" t="s">
        <v>154</v>
      </c>
      <c r="C20" s="525"/>
      <c r="D20" s="525"/>
      <c r="E20" s="525"/>
      <c r="F20" s="526"/>
      <c r="G20" s="177">
        <f>SUM(G16:G19)</f>
        <v>314</v>
      </c>
      <c r="H20" s="178">
        <f>IF(G20=0,0,I20/G20)</f>
        <v>134.2031847133758</v>
      </c>
      <c r="I20" s="179">
        <f>SUM(I16:I19)</f>
        <v>42139.8</v>
      </c>
      <c r="J20" s="180">
        <f>SUM(J16:J19)</f>
        <v>38061.754838709676</v>
      </c>
      <c r="K20" s="181">
        <f>SUM(K16:K19)</f>
        <v>4078.0451612903221</v>
      </c>
      <c r="L20" s="182">
        <f>SUM(L16:L19)</f>
        <v>0</v>
      </c>
      <c r="M20" s="179">
        <f>SUM(M16:M19)</f>
        <v>0</v>
      </c>
      <c r="N20" s="179">
        <f t="shared" ref="N20:P20" si="4">SUM(N16:N19)</f>
        <v>0</v>
      </c>
      <c r="O20" s="179">
        <f t="shared" si="4"/>
        <v>0</v>
      </c>
      <c r="P20" s="181">
        <f t="shared" si="4"/>
        <v>0</v>
      </c>
      <c r="Q20" s="152">
        <f>IF($K$72=0,0,K20/$K$72)</f>
        <v>0.19078573853989811</v>
      </c>
      <c r="R20" s="153" t="s">
        <v>145</v>
      </c>
      <c r="S20" s="73"/>
      <c r="T20" s="69"/>
      <c r="U20" s="69"/>
      <c r="V20" s="73"/>
    </row>
    <row r="21" spans="2:23" s="73" customFormat="1" ht="17.149999999999999" customHeight="1" outlineLevel="1" x14ac:dyDescent="0.25">
      <c r="B21" s="154" t="s">
        <v>155</v>
      </c>
      <c r="C21" s="155" t="s">
        <v>156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7.149999999999999" customHeight="1" outlineLevel="1" x14ac:dyDescent="0.25">
      <c r="B22" s="164" t="s">
        <v>157</v>
      </c>
      <c r="C22" s="417" t="s">
        <v>158</v>
      </c>
      <c r="D22" s="419"/>
      <c r="E22" s="419"/>
      <c r="F22" s="420"/>
      <c r="G22" s="165">
        <f>SUMIF(Enseignements!$G$8:$G$89,Paramétrage!D15,Enseignements!Y$8:Y$89)</f>
        <v>35</v>
      </c>
      <c r="H22" s="166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109.80285714285714</v>
      </c>
      <c r="I22" s="167">
        <f>H22*G22</f>
        <v>3843.1</v>
      </c>
      <c r="J22" s="173">
        <f>I22-K22</f>
        <v>3471.1870967741934</v>
      </c>
      <c r="K22" s="168">
        <f t="shared" ref="K22" si="5">IF($E$7=0,0,I22/$E$7*$E$8)</f>
        <v>371.91290322580642</v>
      </c>
      <c r="L22" s="169"/>
      <c r="M22" s="176"/>
      <c r="N22" s="176"/>
      <c r="O22" s="79"/>
      <c r="P22" s="170">
        <f>SUM(L22:O22)</f>
        <v>0</v>
      </c>
      <c r="Q22" s="171"/>
      <c r="R22" s="171">
        <f>SUMIF(Enseignements!$G$8:$G$89,Paramétrage!D15,Enseignements!W$8:W$89)</f>
        <v>0</v>
      </c>
      <c r="S22" s="412">
        <f>R22*H22</f>
        <v>0</v>
      </c>
      <c r="T22" s="196"/>
      <c r="V22" s="171"/>
      <c r="W22" s="88"/>
    </row>
    <row r="23" spans="2:23" s="121" customFormat="1" ht="17.149999999999999" customHeight="1" outlineLevel="1" x14ac:dyDescent="0.25">
      <c r="B23" s="164" t="s">
        <v>159</v>
      </c>
      <c r="C23" s="518" t="s">
        <v>160</v>
      </c>
      <c r="D23" s="519"/>
      <c r="E23" s="519"/>
      <c r="F23" s="520"/>
      <c r="G23" s="165">
        <f>SUMIF(Enseignements!$G$8:$G$89,Paramétrage!$D$18,Enseignements!Y$8:Y$89)</f>
        <v>0</v>
      </c>
      <c r="H23" s="166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>SUMIF(Enseignements!$G$8:$G$89,Paramétrage!D16,Enseignements!W$8:W$89)</f>
        <v>0</v>
      </c>
      <c r="S23" s="412">
        <f t="shared" ref="S23:S25" si="6">R23*H23</f>
        <v>0</v>
      </c>
      <c r="T23" s="171"/>
      <c r="V23" s="171"/>
      <c r="W23" s="88"/>
    </row>
    <row r="24" spans="2:23" s="121" customFormat="1" ht="17.149999999999999" customHeight="1" outlineLevel="1" x14ac:dyDescent="0.25">
      <c r="B24" s="164" t="s">
        <v>161</v>
      </c>
      <c r="C24" s="518" t="s">
        <v>162</v>
      </c>
      <c r="D24" s="519"/>
      <c r="E24" s="519"/>
      <c r="F24" s="520"/>
      <c r="G24" s="165">
        <f>SUMIF(Enseignements!$G$8:$G$89,Paramétrage!$D$9,Enseignements!Y$8:Y$89)</f>
        <v>0</v>
      </c>
      <c r="H24" s="166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>SUMIF(Enseignements!$G$8:$G$89,Paramétrage!D17,Enseignements!W$8:W$89)</f>
        <v>0</v>
      </c>
      <c r="S24" s="412">
        <f t="shared" si="6"/>
        <v>0</v>
      </c>
      <c r="T24" s="171"/>
      <c r="V24" s="171"/>
      <c r="W24" s="88"/>
    </row>
    <row r="25" spans="2:23" s="121" customFormat="1" ht="17.149999999999999" customHeight="1" outlineLevel="1" x14ac:dyDescent="0.25">
      <c r="B25" s="164" t="s">
        <v>163</v>
      </c>
      <c r="C25" s="518" t="s">
        <v>164</v>
      </c>
      <c r="D25" s="519"/>
      <c r="E25" s="519"/>
      <c r="F25" s="520"/>
      <c r="G25" s="165">
        <f>SUMIF(Enseignements!$G$8:$G$89,Paramétrage!$D$12,Enseignements!Y$8:Y$89)</f>
        <v>9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18.850000000000001</v>
      </c>
      <c r="I25" s="167">
        <f>H25*G25</f>
        <v>169.65</v>
      </c>
      <c r="J25" s="167">
        <f>I25-K25</f>
        <v>0</v>
      </c>
      <c r="K25" s="168">
        <f>I25</f>
        <v>169.65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>SUMIF(Enseignements!$G$8:$G$89,Paramétrage!D18,Enseignements!W$8:W$89)</f>
        <v>0</v>
      </c>
      <c r="S25" s="412">
        <f t="shared" si="6"/>
        <v>0</v>
      </c>
      <c r="T25" s="171"/>
      <c r="V25" s="171"/>
      <c r="W25" s="88"/>
    </row>
    <row r="26" spans="2:23" s="121" customFormat="1" ht="17.149999999999999" customHeight="1" outlineLevel="1" x14ac:dyDescent="0.25">
      <c r="B26" s="164" t="s">
        <v>165</v>
      </c>
      <c r="C26" s="518" t="s">
        <v>166</v>
      </c>
      <c r="D26" s="519"/>
      <c r="E26" s="519"/>
      <c r="F26" s="520"/>
      <c r="G26" s="165">
        <f>SUMIF(Enseignements!$G$8:$G$89,Paramétrage!$D$22,Enseignements!Y$8:Y$89)+SUMIF(Enseignements!$G$8:$G$89,Paramétrage!$D$25,Enseignements!Y$8:Y$89)</f>
        <v>15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61.386666666666663</v>
      </c>
      <c r="I26" s="167">
        <f>H26*G26</f>
        <v>920.8</v>
      </c>
      <c r="J26" s="167">
        <f>I26-K26</f>
        <v>831.6903225806451</v>
      </c>
      <c r="K26" s="168">
        <f t="shared" ref="K26" si="7">IF($E$7=0,0,I26/$E$7*$E$8)</f>
        <v>89.109677419354838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13.548387096774192</v>
      </c>
      <c r="R26" s="171">
        <f>SUMIF(Enseignements!$G$8:$G$89,Paramétrage!D19,Enseignements!W$8:W$89)</f>
        <v>0</v>
      </c>
      <c r="S26" s="412">
        <f>R26*H26</f>
        <v>0</v>
      </c>
      <c r="T26" s="171"/>
      <c r="V26" s="171"/>
      <c r="W26" s="88"/>
    </row>
    <row r="27" spans="2:23" s="121" customFormat="1" ht="21.65" customHeight="1" outlineLevel="1" thickBot="1" x14ac:dyDescent="0.3">
      <c r="B27" s="524" t="s">
        <v>167</v>
      </c>
      <c r="C27" s="525"/>
      <c r="D27" s="525"/>
      <c r="E27" s="525"/>
      <c r="F27" s="526"/>
      <c r="G27" s="177">
        <f>SUM(G22:G26)</f>
        <v>59</v>
      </c>
      <c r="H27" s="178">
        <f>IF(G27=0,0,I27/G27)</f>
        <v>83.619491525423726</v>
      </c>
      <c r="I27" s="178">
        <f>SUM(I22:I26)</f>
        <v>4933.55</v>
      </c>
      <c r="J27" s="178">
        <f t="shared" ref="J27:K27" si="8">SUM(J22:J26)</f>
        <v>4302.8774193548388</v>
      </c>
      <c r="K27" s="181">
        <f t="shared" si="8"/>
        <v>630.67258064516125</v>
      </c>
      <c r="L27" s="184">
        <f>SUM(L22:L26)</f>
        <v>0</v>
      </c>
      <c r="M27" s="185">
        <f>SUM(M22:M26)</f>
        <v>0</v>
      </c>
      <c r="N27" s="186">
        <f t="shared" ref="N27:O27" si="9">SUM(N22:N26)</f>
        <v>0</v>
      </c>
      <c r="O27" s="179">
        <f t="shared" si="9"/>
        <v>0</v>
      </c>
      <c r="P27" s="181">
        <f t="shared" ref="P27" si="10">SUM(P22:P25)</f>
        <v>0</v>
      </c>
      <c r="Q27" s="152">
        <f>IF($K$72=0,0,K27/$K$72)</f>
        <v>2.9505149971703452E-2</v>
      </c>
      <c r="R27" s="153" t="s">
        <v>145</v>
      </c>
      <c r="S27" s="73"/>
      <c r="T27" s="120"/>
    </row>
    <row r="28" spans="2:23" s="121" customFormat="1" ht="17.149999999999999" customHeight="1" outlineLevel="1" x14ac:dyDescent="0.25">
      <c r="B28" s="154" t="s">
        <v>168</v>
      </c>
      <c r="C28" s="155" t="s">
        <v>169</v>
      </c>
      <c r="D28" s="156"/>
      <c r="E28" s="156"/>
      <c r="F28" s="157"/>
      <c r="G28" s="158"/>
      <c r="H28" s="159"/>
      <c r="I28" s="158"/>
      <c r="J28" s="158"/>
      <c r="K28" s="160"/>
      <c r="L28" s="193"/>
      <c r="M28" s="194"/>
      <c r="N28" s="194"/>
      <c r="O28" s="194"/>
      <c r="P28" s="195"/>
      <c r="Q28" s="162"/>
      <c r="R28" s="196">
        <f t="shared" ref="R28:U28" si="11">IF($I28=0,0,IF($P28=0,0,$G28*$J28/$I28*L28/$P28))</f>
        <v>0</v>
      </c>
      <c r="S28" s="196">
        <f t="shared" si="11"/>
        <v>0</v>
      </c>
      <c r="T28" s="196">
        <f t="shared" si="11"/>
        <v>0</v>
      </c>
      <c r="U28" s="197">
        <f t="shared" si="11"/>
        <v>0</v>
      </c>
      <c r="V28" s="198"/>
    </row>
    <row r="29" spans="2:23" s="121" customFormat="1" ht="17.149999999999999" customHeight="1" outlineLevel="1" x14ac:dyDescent="0.25">
      <c r="B29" s="164" t="s">
        <v>170</v>
      </c>
      <c r="C29" s="518" t="s">
        <v>171</v>
      </c>
      <c r="D29" s="519"/>
      <c r="E29" s="519"/>
      <c r="F29" s="520"/>
      <c r="G29" s="79">
        <v>12</v>
      </c>
      <c r="H29" s="166">
        <f>+H16</f>
        <v>218</v>
      </c>
      <c r="I29" s="199">
        <f>H29*G29</f>
        <v>2616</v>
      </c>
      <c r="J29" s="167">
        <f t="shared" ref="J29:J31" si="12">I29-K29</f>
        <v>2362.8387096774195</v>
      </c>
      <c r="K29" s="168">
        <f t="shared" ref="K29:K31" si="13">IF($E$7=0,0,I29/$E$7*$E$8)</f>
        <v>253.16129032258067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10.838709677419356</v>
      </c>
      <c r="R29" s="171"/>
      <c r="S29" s="171"/>
      <c r="T29" s="171"/>
      <c r="U29" s="171"/>
      <c r="V29" s="172"/>
      <c r="W29" s="201"/>
    </row>
    <row r="30" spans="2:23" s="121" customFormat="1" ht="17.149999999999999" customHeight="1" outlineLevel="1" x14ac:dyDescent="0.25">
      <c r="B30" s="164" t="s">
        <v>172</v>
      </c>
      <c r="C30" s="518" t="s">
        <v>173</v>
      </c>
      <c r="D30" s="519"/>
      <c r="E30" s="519"/>
      <c r="F30" s="520"/>
      <c r="G30" s="79"/>
      <c r="H30" s="166">
        <f>$H$20</f>
        <v>134.2031847133758</v>
      </c>
      <c r="I30" s="199">
        <f>H30*G30</f>
        <v>0</v>
      </c>
      <c r="J30" s="167">
        <f t="shared" si="12"/>
        <v>0</v>
      </c>
      <c r="K30" s="168">
        <f>I30</f>
        <v>0</v>
      </c>
      <c r="L30" s="200"/>
      <c r="M30" s="169"/>
      <c r="N30" s="79"/>
      <c r="O30" s="79"/>
      <c r="P30" s="174">
        <f>SUM(L30:O30)</f>
        <v>0</v>
      </c>
      <c r="Q30" s="171">
        <f t="shared" ref="Q30:Q31" si="14">IF($I30=0,0,$G30*$J30/$I30)</f>
        <v>0</v>
      </c>
      <c r="R30" s="171"/>
      <c r="S30" s="171"/>
      <c r="T30" s="171"/>
      <c r="U30" s="171"/>
      <c r="V30" s="172"/>
      <c r="W30" s="201"/>
    </row>
    <row r="31" spans="2:23" s="121" customFormat="1" ht="17.149999999999999" customHeight="1" outlineLevel="1" x14ac:dyDescent="0.25">
      <c r="B31" s="164" t="s">
        <v>174</v>
      </c>
      <c r="C31" s="418" t="s">
        <v>26</v>
      </c>
      <c r="D31" s="419"/>
      <c r="E31" s="419"/>
      <c r="F31" s="420"/>
      <c r="G31" s="202"/>
      <c r="H31" s="166">
        <f>$H$20</f>
        <v>134.2031847133758</v>
      </c>
      <c r="I31" s="203">
        <f>H31*G31</f>
        <v>0</v>
      </c>
      <c r="J31" s="167">
        <f t="shared" si="12"/>
        <v>0</v>
      </c>
      <c r="K31" s="168">
        <f t="shared" si="13"/>
        <v>0</v>
      </c>
      <c r="L31" s="204"/>
      <c r="M31" s="79"/>
      <c r="N31" s="79"/>
      <c r="O31" s="79"/>
      <c r="P31" s="174">
        <f>SUM(L31:O31)</f>
        <v>0</v>
      </c>
      <c r="Q31" s="171">
        <f t="shared" si="14"/>
        <v>0</v>
      </c>
      <c r="R31" s="171"/>
      <c r="S31" s="171"/>
      <c r="T31" s="171"/>
      <c r="U31" s="171"/>
      <c r="V31" s="172"/>
      <c r="W31" s="201"/>
    </row>
    <row r="32" spans="2:23" s="121" customFormat="1" ht="21" customHeight="1" outlineLevel="1" thickBot="1" x14ac:dyDescent="0.3">
      <c r="B32" s="524" t="s">
        <v>175</v>
      </c>
      <c r="C32" s="525"/>
      <c r="D32" s="525"/>
      <c r="E32" s="525"/>
      <c r="F32" s="526"/>
      <c r="G32" s="177">
        <f>SUM(G29:G31)</f>
        <v>12</v>
      </c>
      <c r="H32" s="178">
        <f>IF(G32=0,0,I32/G32)</f>
        <v>218</v>
      </c>
      <c r="I32" s="178">
        <f>SUM(I29:I31)</f>
        <v>2616</v>
      </c>
      <c r="J32" s="178">
        <f>SUM(J29:J31)</f>
        <v>2362.8387096774195</v>
      </c>
      <c r="K32" s="389">
        <f>SUM(K29:K31)</f>
        <v>253.16129032258067</v>
      </c>
      <c r="L32" s="182">
        <f t="shared" ref="L32:M32" si="15">SUM(L29:L31)</f>
        <v>0</v>
      </c>
      <c r="M32" s="179">
        <f t="shared" si="15"/>
        <v>0</v>
      </c>
      <c r="N32" s="179">
        <f>SUM(N29:N31)</f>
        <v>0</v>
      </c>
      <c r="O32" s="179">
        <f>SUM(O29:O31)</f>
        <v>0</v>
      </c>
      <c r="P32" s="181">
        <f t="shared" ref="P32" si="16">SUM(P28:P31)</f>
        <v>0</v>
      </c>
      <c r="Q32" s="152">
        <f>IF($K$72=0,0,K32/$K$72)</f>
        <v>1.1843803056027166E-2</v>
      </c>
      <c r="R32" s="153" t="s">
        <v>145</v>
      </c>
      <c r="S32" s="73"/>
      <c r="T32" s="120"/>
      <c r="U32" s="70"/>
    </row>
    <row r="33" spans="2:22" s="121" customFormat="1" ht="21" hidden="1" customHeight="1" outlineLevel="1" x14ac:dyDescent="0.25">
      <c r="B33" s="208"/>
      <c r="C33" s="209"/>
      <c r="D33" s="210"/>
      <c r="E33" s="211"/>
      <c r="F33" s="211"/>
      <c r="G33" s="211"/>
      <c r="H33" s="212" t="s">
        <v>176</v>
      </c>
      <c r="I33" s="213">
        <f>+G20+G27+G32</f>
        <v>385</v>
      </c>
      <c r="J33" s="213">
        <f>SUM(Q16:Q19)+SUM(Q22:Q26)+SUM(Q29:Q31)</f>
        <v>308</v>
      </c>
      <c r="K33" s="214">
        <f>I33-J33</f>
        <v>77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 x14ac:dyDescent="0.3">
      <c r="B34" s="220"/>
      <c r="C34" s="221"/>
      <c r="D34" s="222"/>
      <c r="E34" s="223"/>
      <c r="F34" s="223"/>
      <c r="G34" s="223"/>
      <c r="H34" s="224" t="s">
        <v>177</v>
      </c>
      <c r="I34" s="225">
        <f>IF($E$7=0,0,(I32+I20+I27)/$E$7)</f>
        <v>1602.8822580645162</v>
      </c>
      <c r="J34" s="226">
        <f>IF($E$7-$E$8=0,0,(J32+J20+J27)/($E$7-$E$8))</f>
        <v>1597.4096774193547</v>
      </c>
      <c r="K34" s="227">
        <f>IF($E$8=0,0,(K32+K20+K27)/$E$8)</f>
        <v>1653.9596774193549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4" customHeight="1" thickBot="1" x14ac:dyDescent="0.3">
      <c r="B35" s="228" t="s">
        <v>178</v>
      </c>
      <c r="C35" s="229"/>
      <c r="D35" s="230"/>
      <c r="E35" s="230"/>
      <c r="F35" s="230"/>
      <c r="G35" s="230"/>
      <c r="H35" s="231"/>
      <c r="I35" s="232">
        <f t="shared" ref="I35:P35" si="17">SUM(I36:I44)</f>
        <v>1800</v>
      </c>
      <c r="J35" s="233">
        <f t="shared" si="17"/>
        <v>1141.9354838709678</v>
      </c>
      <c r="K35" s="234">
        <f t="shared" si="17"/>
        <v>658.0645161290322</v>
      </c>
      <c r="L35" s="151">
        <f t="shared" si="17"/>
        <v>0</v>
      </c>
      <c r="M35" s="147">
        <f t="shared" si="17"/>
        <v>0</v>
      </c>
      <c r="N35" s="148">
        <f t="shared" si="17"/>
        <v>0</v>
      </c>
      <c r="O35" s="147">
        <f t="shared" si="17"/>
        <v>0</v>
      </c>
      <c r="P35" s="235">
        <f t="shared" si="17"/>
        <v>0</v>
      </c>
      <c r="Q35" s="152">
        <f>IF($K$72=0,0,K35/$K$72)</f>
        <v>3.0786644029428406E-2</v>
      </c>
      <c r="R35" s="153" t="s">
        <v>145</v>
      </c>
      <c r="U35" s="121"/>
      <c r="V35" s="121"/>
    </row>
    <row r="36" spans="2:22" s="121" customFormat="1" ht="17.149999999999999" customHeight="1" outlineLevel="1" x14ac:dyDescent="0.25">
      <c r="B36" s="236" t="s">
        <v>179</v>
      </c>
      <c r="C36" s="237" t="s">
        <v>180</v>
      </c>
      <c r="D36" s="238"/>
      <c r="E36" s="238"/>
      <c r="F36" s="238"/>
      <c r="G36" s="238"/>
      <c r="H36" s="238"/>
      <c r="I36" s="239"/>
      <c r="J36" s="240">
        <f>I36-K36</f>
        <v>0</v>
      </c>
      <c r="K36" s="241">
        <f>IF($E$7=0,0,I36/$E$7*$E$8)</f>
        <v>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7.149999999999999" customHeight="1" outlineLevel="1" x14ac:dyDescent="0.25">
      <c r="B37" s="97" t="s">
        <v>181</v>
      </c>
      <c r="C37" s="248" t="s">
        <v>182</v>
      </c>
      <c r="D37" s="249"/>
      <c r="E37" s="249"/>
      <c r="F37" s="249"/>
      <c r="G37" s="249"/>
      <c r="H37" s="249"/>
      <c r="I37" s="250"/>
      <c r="J37" s="166">
        <f>I37-K37</f>
        <v>0</v>
      </c>
      <c r="K37" s="251">
        <f t="shared" ref="K37:K44" si="18">IF($E$7=0,0,I37/$E$7*$E$8)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7.149999999999999" customHeight="1" outlineLevel="1" x14ac:dyDescent="0.25">
      <c r="B38" s="97" t="s">
        <v>183</v>
      </c>
      <c r="C38" s="248" t="s">
        <v>184</v>
      </c>
      <c r="D38" s="249"/>
      <c r="E38" s="249"/>
      <c r="F38" s="249"/>
      <c r="G38" s="249"/>
      <c r="H38" s="249"/>
      <c r="I38" s="250"/>
      <c r="J38" s="166">
        <f>I38-K38</f>
        <v>0</v>
      </c>
      <c r="K38" s="251">
        <f t="shared" si="18"/>
        <v>0</v>
      </c>
      <c r="L38" s="200"/>
      <c r="M38" s="169"/>
      <c r="N38" s="252"/>
      <c r="O38" s="169"/>
      <c r="P38" s="174">
        <f t="shared" ref="P38:P44" si="19">SUM(L38:O38)</f>
        <v>0</v>
      </c>
      <c r="Q38" s="246"/>
      <c r="R38" s="247"/>
      <c r="S38" s="73"/>
    </row>
    <row r="39" spans="2:22" s="121" customFormat="1" ht="17.149999999999999" customHeight="1" outlineLevel="1" x14ac:dyDescent="0.25">
      <c r="B39" s="97" t="s">
        <v>185</v>
      </c>
      <c r="C39" s="248" t="s">
        <v>186</v>
      </c>
      <c r="D39" s="249"/>
      <c r="E39" s="249"/>
      <c r="F39" s="249"/>
      <c r="G39" s="249"/>
      <c r="H39" s="249"/>
      <c r="I39" s="250">
        <v>300</v>
      </c>
      <c r="J39" s="166">
        <f>I39-K39</f>
        <v>270.9677419354839</v>
      </c>
      <c r="K39" s="251">
        <f t="shared" si="18"/>
        <v>29.032258064516128</v>
      </c>
      <c r="L39" s="200"/>
      <c r="M39" s="169"/>
      <c r="N39" s="252"/>
      <c r="O39" s="169"/>
      <c r="P39" s="174">
        <f t="shared" si="19"/>
        <v>0</v>
      </c>
      <c r="Q39" s="246"/>
      <c r="R39" s="247"/>
      <c r="S39" s="73"/>
    </row>
    <row r="40" spans="2:22" s="121" customFormat="1" ht="17.149999999999999" customHeight="1" outlineLevel="1" x14ac:dyDescent="0.25">
      <c r="B40" s="97" t="s">
        <v>187</v>
      </c>
      <c r="C40" s="248" t="s">
        <v>188</v>
      </c>
      <c r="D40" s="249"/>
      <c r="E40" s="249"/>
      <c r="F40" s="249"/>
      <c r="G40" s="249"/>
      <c r="H40" s="249"/>
      <c r="I40" s="250">
        <v>300</v>
      </c>
      <c r="J40" s="166">
        <f>I40-K40</f>
        <v>270.9677419354839</v>
      </c>
      <c r="K40" s="251">
        <f t="shared" si="18"/>
        <v>29.032258064516128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7.149999999999999" customHeight="1" outlineLevel="1" x14ac:dyDescent="0.25">
      <c r="B41" s="97" t="s">
        <v>189</v>
      </c>
      <c r="C41" s="248" t="s">
        <v>190</v>
      </c>
      <c r="D41" s="249"/>
      <c r="E41" s="249"/>
      <c r="F41" s="249"/>
      <c r="G41" s="249"/>
      <c r="H41" s="249"/>
      <c r="I41" s="250">
        <v>600</v>
      </c>
      <c r="J41" s="166">
        <f t="shared" ref="J41:J44" si="20">I41-K41</f>
        <v>600</v>
      </c>
      <c r="K41" s="251"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7.149999999999999" customHeight="1" outlineLevel="1" x14ac:dyDescent="0.25">
      <c r="B42" s="97" t="s">
        <v>191</v>
      </c>
      <c r="C42" s="248" t="s">
        <v>192</v>
      </c>
      <c r="D42" s="249"/>
      <c r="E42" s="249"/>
      <c r="F42" s="249"/>
      <c r="G42" s="249"/>
      <c r="H42" s="249"/>
      <c r="I42" s="250">
        <v>600</v>
      </c>
      <c r="J42" s="166">
        <f t="shared" si="20"/>
        <v>0</v>
      </c>
      <c r="K42" s="251">
        <f>I42</f>
        <v>600</v>
      </c>
      <c r="L42" s="200"/>
      <c r="M42" s="169"/>
      <c r="N42" s="252"/>
      <c r="O42" s="169"/>
      <c r="P42" s="174">
        <f t="shared" si="19"/>
        <v>0</v>
      </c>
      <c r="Q42" s="246"/>
      <c r="R42" s="247"/>
      <c r="S42" s="73"/>
    </row>
    <row r="43" spans="2:22" s="121" customFormat="1" ht="17.149999999999999" customHeight="1" outlineLevel="1" x14ac:dyDescent="0.25">
      <c r="B43" s="97" t="s">
        <v>193</v>
      </c>
      <c r="C43" s="248" t="s">
        <v>194</v>
      </c>
      <c r="D43" s="249"/>
      <c r="E43" s="249"/>
      <c r="F43" s="249"/>
      <c r="G43" s="249"/>
      <c r="H43" s="249"/>
      <c r="I43" s="250"/>
      <c r="J43" s="166">
        <f t="shared" si="20"/>
        <v>0</v>
      </c>
      <c r="K43" s="251">
        <f t="shared" si="18"/>
        <v>0</v>
      </c>
      <c r="L43" s="200"/>
      <c r="M43" s="169"/>
      <c r="N43" s="252"/>
      <c r="O43" s="169"/>
      <c r="P43" s="174">
        <f t="shared" si="19"/>
        <v>0</v>
      </c>
      <c r="Q43" s="246"/>
      <c r="R43" s="247"/>
      <c r="S43" s="73"/>
    </row>
    <row r="44" spans="2:22" s="121" customFormat="1" ht="17.149999999999999" customHeight="1" outlineLevel="1" thickBot="1" x14ac:dyDescent="0.3">
      <c r="B44" s="253" t="s">
        <v>195</v>
      </c>
      <c r="C44" s="254" t="s">
        <v>196</v>
      </c>
      <c r="D44" s="255"/>
      <c r="E44" s="255"/>
      <c r="F44" s="255"/>
      <c r="G44" s="255"/>
      <c r="H44" s="256"/>
      <c r="I44" s="257"/>
      <c r="J44" s="258">
        <f t="shared" si="20"/>
        <v>0</v>
      </c>
      <c r="K44" s="259">
        <f t="shared" si="18"/>
        <v>0</v>
      </c>
      <c r="L44" s="260"/>
      <c r="M44" s="261"/>
      <c r="N44" s="262"/>
      <c r="O44" s="261"/>
      <c r="P44" s="263">
        <f t="shared" si="19"/>
        <v>0</v>
      </c>
      <c r="Q44" s="246"/>
      <c r="R44" s="247"/>
      <c r="S44" s="73"/>
    </row>
    <row r="45" spans="2:22" s="121" customFormat="1" ht="24.65" customHeight="1" outlineLevel="1" thickBot="1" x14ac:dyDescent="0.3">
      <c r="B45" s="264"/>
      <c r="C45" s="265"/>
      <c r="E45" s="266"/>
      <c r="F45" s="266"/>
      <c r="G45" s="266"/>
      <c r="H45" s="74" t="s">
        <v>197</v>
      </c>
      <c r="I45" s="267">
        <f>IF(E7=0,0,I35/$E$7)</f>
        <v>58.064516129032256</v>
      </c>
      <c r="J45" s="267">
        <f>IF(E7-E8=0,0,J35/($E$7-$E$8))</f>
        <v>40.783410138248847</v>
      </c>
      <c r="K45" s="227">
        <f>IF($E$8=0,0,K35/$E$8)</f>
        <v>219.35483870967741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5" customHeight="1" thickBot="1" x14ac:dyDescent="0.3">
      <c r="B46" s="143" t="s">
        <v>198</v>
      </c>
      <c r="C46" s="144"/>
      <c r="D46" s="145"/>
      <c r="E46" s="145"/>
      <c r="F46" s="145"/>
      <c r="G46" s="145"/>
      <c r="H46" s="268"/>
      <c r="I46" s="269">
        <f t="shared" ref="I46:P46" si="21">I35+I32+I20+I27</f>
        <v>51489.350000000006</v>
      </c>
      <c r="J46" s="269">
        <f t="shared" si="21"/>
        <v>45869.4064516129</v>
      </c>
      <c r="K46" s="270">
        <f t="shared" si="21"/>
        <v>5619.9435483870966</v>
      </c>
      <c r="L46" s="269">
        <f t="shared" si="21"/>
        <v>0</v>
      </c>
      <c r="M46" s="269">
        <f t="shared" si="21"/>
        <v>0</v>
      </c>
      <c r="N46" s="269">
        <f t="shared" si="21"/>
        <v>0</v>
      </c>
      <c r="O46" s="269">
        <f t="shared" si="21"/>
        <v>0</v>
      </c>
      <c r="P46" s="271">
        <f t="shared" si="21"/>
        <v>0</v>
      </c>
      <c r="Q46" s="272">
        <f>IF($K$72=0,0,K46/$K$72)</f>
        <v>0.26292133559705716</v>
      </c>
      <c r="R46" s="153" t="s">
        <v>145</v>
      </c>
      <c r="S46" s="273"/>
      <c r="U46" s="70"/>
      <c r="V46" s="121"/>
    </row>
    <row r="47" spans="2:22" s="121" customFormat="1" ht="21" customHeight="1" thickBot="1" x14ac:dyDescent="0.3">
      <c r="B47" s="274"/>
      <c r="C47" s="275"/>
      <c r="D47" s="275"/>
      <c r="E47" s="276"/>
      <c r="F47" s="276"/>
      <c r="G47" s="276"/>
      <c r="H47" s="277" t="s">
        <v>199</v>
      </c>
      <c r="I47" s="225">
        <f>IF(E7=0,0,I46/E7)</f>
        <v>1660.9467741935487</v>
      </c>
      <c r="J47" s="267">
        <f>IF((E7-E8)=0,0,J46/(E7-E8))</f>
        <v>1638.1930875576036</v>
      </c>
      <c r="K47" s="278">
        <f>IF(E8=0,0,K46/E8)</f>
        <v>1873.3145161290322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 x14ac:dyDescent="0.3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2.5" thickBot="1" x14ac:dyDescent="0.3">
      <c r="B49" s="281" t="s">
        <v>200</v>
      </c>
      <c r="C49" s="282" t="s">
        <v>201</v>
      </c>
      <c r="D49" s="283"/>
      <c r="E49" s="283"/>
      <c r="F49" s="283"/>
      <c r="G49" s="283"/>
      <c r="H49" s="135" t="s">
        <v>202</v>
      </c>
      <c r="I49" s="134" t="s">
        <v>137</v>
      </c>
      <c r="J49" s="135" t="s">
        <v>138</v>
      </c>
      <c r="K49" s="136" t="s">
        <v>203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20.149999999999999" customHeight="1" thickBot="1" x14ac:dyDescent="0.3">
      <c r="B50" s="143" t="s">
        <v>204</v>
      </c>
      <c r="C50" s="144"/>
      <c r="D50" s="145"/>
      <c r="E50" s="145"/>
      <c r="F50" s="145"/>
      <c r="G50" s="145"/>
      <c r="H50" s="373"/>
      <c r="I50" s="148">
        <f>SUM(I51:I54)</f>
        <v>28340</v>
      </c>
      <c r="J50" s="149">
        <f>SUM(J51:J54)</f>
        <v>24752</v>
      </c>
      <c r="K50" s="150">
        <f>SUM(K51:K54)</f>
        <v>3588</v>
      </c>
      <c r="L50" s="148">
        <f t="shared" ref="L50:P50" si="22">SUM(L51:L54)</f>
        <v>0</v>
      </c>
      <c r="M50" s="147">
        <f t="shared" si="22"/>
        <v>0</v>
      </c>
      <c r="N50" s="147">
        <f t="shared" si="22"/>
        <v>0</v>
      </c>
      <c r="O50" s="148">
        <f t="shared" si="22"/>
        <v>0</v>
      </c>
      <c r="P50" s="150">
        <f t="shared" si="22"/>
        <v>0</v>
      </c>
      <c r="Q50" s="183"/>
      <c r="R50" s="286"/>
    </row>
    <row r="51" spans="1:22" s="73" customFormat="1" ht="17.149999999999999" customHeight="1" outlineLevel="2" x14ac:dyDescent="0.25">
      <c r="B51" s="287" t="s">
        <v>205</v>
      </c>
      <c r="C51" s="288" t="s">
        <v>206</v>
      </c>
      <c r="D51" s="289"/>
      <c r="E51" s="289"/>
      <c r="F51" s="289"/>
      <c r="G51" s="290"/>
      <c r="H51" s="166">
        <f>IF(H5="Formation courte",312/2,312)</f>
        <v>312</v>
      </c>
      <c r="I51" s="166">
        <f>H51*E8</f>
        <v>936</v>
      </c>
      <c r="J51" s="167">
        <f t="shared" ref="J51:J54" si="23">I51-K51</f>
        <v>0</v>
      </c>
      <c r="K51" s="168">
        <f>I51</f>
        <v>936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 x14ac:dyDescent="0.25">
      <c r="B52" s="287" t="s">
        <v>207</v>
      </c>
      <c r="C52" s="294" t="s">
        <v>208</v>
      </c>
      <c r="D52" s="295"/>
      <c r="E52" s="295"/>
      <c r="F52" s="295"/>
      <c r="G52" s="296"/>
      <c r="H52" s="166">
        <f>IF(OR(H5="Diplôme Universitaire",H5="Formation courte"),708/500*Enseignements!H7,708)</f>
        <v>708</v>
      </c>
      <c r="I52" s="166">
        <f>H52*$E$7</f>
        <v>21948</v>
      </c>
      <c r="J52" s="167">
        <f>I52-K52</f>
        <v>19824</v>
      </c>
      <c r="K52" s="168">
        <f>IF($E$7=0,0,I52/$E$7*$E$8)</f>
        <v>2124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 x14ac:dyDescent="0.25">
      <c r="B53" s="287" t="s">
        <v>209</v>
      </c>
      <c r="C53" s="115" t="s">
        <v>210</v>
      </c>
      <c r="D53" s="297"/>
      <c r="E53" s="297"/>
      <c r="F53" s="297"/>
      <c r="G53" s="297"/>
      <c r="H53" s="166">
        <f>IF(OR(H5="Diplôme Universitaire",H5="Formation courte"),90/500*Enseignements!H7,90)</f>
        <v>90</v>
      </c>
      <c r="I53" s="166">
        <f t="shared" ref="I53:I58" si="24">H53*$E$7</f>
        <v>2790</v>
      </c>
      <c r="J53" s="167">
        <f t="shared" si="23"/>
        <v>2520</v>
      </c>
      <c r="K53" s="168">
        <f t="shared" ref="K53:K58" si="25">IF($E$7=0,0,I53/$E$7*$E$8)</f>
        <v>270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 x14ac:dyDescent="0.3">
      <c r="B54" s="287" t="s">
        <v>211</v>
      </c>
      <c r="C54" s="115" t="s">
        <v>212</v>
      </c>
      <c r="D54" s="297"/>
      <c r="E54" s="297"/>
      <c r="F54" s="297"/>
      <c r="G54" s="297"/>
      <c r="H54" s="166">
        <f>IF(OR(H5="Diplôme Universitaire",H5="Formation courte"),86/500*Enseignements!H7,86)</f>
        <v>86</v>
      </c>
      <c r="I54" s="166">
        <f t="shared" si="24"/>
        <v>2666</v>
      </c>
      <c r="J54" s="167">
        <f t="shared" si="23"/>
        <v>2408</v>
      </c>
      <c r="K54" s="168">
        <f t="shared" si="25"/>
        <v>258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399999999999999" customHeight="1" thickBot="1" x14ac:dyDescent="0.3">
      <c r="B55" s="143" t="s">
        <v>213</v>
      </c>
      <c r="C55" s="144"/>
      <c r="D55" s="145"/>
      <c r="E55" s="145"/>
      <c r="F55" s="145"/>
      <c r="G55" s="145"/>
      <c r="H55" s="268"/>
      <c r="I55" s="148">
        <f>SUM(I56:I58)</f>
        <v>29884</v>
      </c>
      <c r="J55" s="149">
        <f>SUM(J56:J58)</f>
        <v>26992</v>
      </c>
      <c r="K55" s="150">
        <f>SUM(K56:K58)</f>
        <v>2892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7.149999999999999" customHeight="1" outlineLevel="1" x14ac:dyDescent="0.25">
      <c r="B56" s="97" t="s">
        <v>214</v>
      </c>
      <c r="C56" s="248" t="s">
        <v>215</v>
      </c>
      <c r="D56" s="249"/>
      <c r="E56" s="249"/>
      <c r="F56" s="249"/>
      <c r="G56" s="249"/>
      <c r="H56" s="166">
        <f>IF(OR(H5="Diplôme Universitaire",H5="Formation courte"),222/500*Enseignements!H7,222)</f>
        <v>222</v>
      </c>
      <c r="I56" s="166">
        <f t="shared" si="24"/>
        <v>6882</v>
      </c>
      <c r="J56" s="167">
        <f t="shared" ref="J56:J58" si="27">I56-K56</f>
        <v>6216</v>
      </c>
      <c r="K56" s="168">
        <f t="shared" si="25"/>
        <v>666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7.149999999999999" customHeight="1" outlineLevel="1" x14ac:dyDescent="0.25">
      <c r="B57" s="97" t="s">
        <v>216</v>
      </c>
      <c r="C57" s="248" t="s">
        <v>217</v>
      </c>
      <c r="D57" s="249"/>
      <c r="E57" s="249"/>
      <c r="F57" s="249"/>
      <c r="G57" s="249"/>
      <c r="H57" s="166">
        <f>IF(OR(H5="Diplôme Universitaire",H5="Formation courte"),550/500*Enseignements!H7,550)</f>
        <v>550</v>
      </c>
      <c r="I57" s="166">
        <f t="shared" si="24"/>
        <v>17050</v>
      </c>
      <c r="J57" s="167">
        <f t="shared" si="27"/>
        <v>15400</v>
      </c>
      <c r="K57" s="168">
        <f t="shared" si="25"/>
        <v>1650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7.149999999999999" customHeight="1" outlineLevel="1" thickBot="1" x14ac:dyDescent="0.3">
      <c r="B58" s="97" t="s">
        <v>218</v>
      </c>
      <c r="C58" s="248" t="s">
        <v>219</v>
      </c>
      <c r="D58" s="249"/>
      <c r="E58" s="249"/>
      <c r="F58" s="249"/>
      <c r="G58" s="249"/>
      <c r="H58" s="166">
        <f>IF(OR(H5="Diplôme Universitaire",H5="Formation courte"),192/500*Enseignements!H7,192)</f>
        <v>192</v>
      </c>
      <c r="I58" s="166">
        <f t="shared" si="24"/>
        <v>5952</v>
      </c>
      <c r="J58" s="167">
        <f t="shared" si="27"/>
        <v>5376</v>
      </c>
      <c r="K58" s="168">
        <f t="shared" si="25"/>
        <v>576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5" customHeight="1" thickBot="1" x14ac:dyDescent="0.3">
      <c r="B59" s="143" t="s">
        <v>220</v>
      </c>
      <c r="C59" s="144"/>
      <c r="D59" s="145"/>
      <c r="E59" s="145"/>
      <c r="F59" s="145"/>
      <c r="G59" s="145"/>
      <c r="H59" s="268"/>
      <c r="I59" s="148">
        <f>I50+I55</f>
        <v>58224</v>
      </c>
      <c r="J59" s="149">
        <f>J50+J55</f>
        <v>51744</v>
      </c>
      <c r="K59" s="150">
        <f>K50+K55</f>
        <v>6480</v>
      </c>
      <c r="L59" s="148">
        <f t="shared" ref="L59:P59" si="28">L50+L55</f>
        <v>0</v>
      </c>
      <c r="M59" s="147">
        <f t="shared" si="28"/>
        <v>0</v>
      </c>
      <c r="N59" s="147">
        <f t="shared" si="28"/>
        <v>0</v>
      </c>
      <c r="O59" s="148">
        <f t="shared" si="28"/>
        <v>0</v>
      </c>
      <c r="P59" s="150">
        <f t="shared" si="28"/>
        <v>0</v>
      </c>
      <c r="Q59" s="152">
        <f>IF($K$72=0,0,K59/$K$72)</f>
        <v>0.30315789473684213</v>
      </c>
      <c r="R59" s="300" t="s">
        <v>145</v>
      </c>
      <c r="S59" s="301">
        <f>IF((K59+K46)=0,0,K59/(K59+K46))</f>
        <v>0.53553968860158641</v>
      </c>
      <c r="T59" s="153" t="s">
        <v>221</v>
      </c>
      <c r="U59" s="70"/>
    </row>
    <row r="60" spans="1:22" ht="21" customHeight="1" thickBot="1" x14ac:dyDescent="0.3">
      <c r="A60" s="73"/>
      <c r="B60" s="274"/>
      <c r="C60" s="302"/>
      <c r="D60" s="302"/>
      <c r="E60" s="276"/>
      <c r="F60" s="276"/>
      <c r="G60" s="276"/>
      <c r="H60" s="74" t="s">
        <v>222</v>
      </c>
      <c r="I60" s="267">
        <f>IF(E7=0,0,I59/E7)</f>
        <v>1878.1935483870968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4" customHeight="1" thickBot="1" x14ac:dyDescent="0.3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5" customHeight="1" thickBot="1" x14ac:dyDescent="0.3">
      <c r="B62" s="309" t="s">
        <v>223</v>
      </c>
      <c r="C62" s="309"/>
      <c r="D62" s="310"/>
      <c r="E62" s="311"/>
      <c r="F62" s="310"/>
      <c r="G62" s="312"/>
      <c r="H62" s="313"/>
      <c r="I62" s="314">
        <f>I59+I46</f>
        <v>109713.35</v>
      </c>
      <c r="J62" s="314">
        <f>J59+J46</f>
        <v>97613.4064516129</v>
      </c>
      <c r="K62" s="315">
        <f>K59+K46</f>
        <v>12099.943548387097</v>
      </c>
      <c r="L62" s="314">
        <f t="shared" ref="L62:O62" si="29">L59+L46</f>
        <v>0</v>
      </c>
      <c r="M62" s="314">
        <f t="shared" si="29"/>
        <v>0</v>
      </c>
      <c r="N62" s="314">
        <f t="shared" si="29"/>
        <v>0</v>
      </c>
      <c r="O62" s="314">
        <f t="shared" si="29"/>
        <v>0</v>
      </c>
      <c r="P62" s="315">
        <f>P59+P46</f>
        <v>0</v>
      </c>
      <c r="Q62" s="152">
        <f>IF($K$72=0,0,K62/$K$72)</f>
        <v>0.56607923033389929</v>
      </c>
      <c r="R62" s="153" t="s">
        <v>145</v>
      </c>
      <c r="U62" s="121"/>
      <c r="V62" s="121"/>
    </row>
    <row r="63" spans="1:22" s="121" customFormat="1" ht="18.75" customHeight="1" x14ac:dyDescent="0.25">
      <c r="B63" s="208"/>
      <c r="C63" s="289"/>
      <c r="D63" s="316"/>
      <c r="E63" s="316"/>
      <c r="F63" s="316"/>
      <c r="G63" s="317"/>
      <c r="H63" s="317" t="s">
        <v>224</v>
      </c>
      <c r="I63" s="318">
        <f>IF(E7=0,0,I62/$E$7)</f>
        <v>3539.1403225806453</v>
      </c>
      <c r="J63" s="319">
        <f>IF(($E$7-$E$8)=0,0,J62/($E$7-$E$8))</f>
        <v>3486.1930875576036</v>
      </c>
      <c r="K63" s="320">
        <f>IF(E8=0,0,K62/$E$8)</f>
        <v>4033.3145161290322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49999999999999" customHeight="1" thickBot="1" x14ac:dyDescent="0.3">
      <c r="B64" s="220"/>
      <c r="C64" s="323"/>
      <c r="D64" s="324"/>
      <c r="E64" s="324"/>
      <c r="F64" s="324"/>
      <c r="G64" s="325"/>
      <c r="H64" s="325" t="s">
        <v>225</v>
      </c>
      <c r="I64" s="258">
        <f t="shared" ref="I64:P64" si="30">IF(I33=0,0,I62/I33)</f>
        <v>284.96974025974026</v>
      </c>
      <c r="J64" s="258">
        <f t="shared" si="30"/>
        <v>316.92664432341849</v>
      </c>
      <c r="K64" s="258">
        <f t="shared" si="30"/>
        <v>157.14212400502723</v>
      </c>
      <c r="L64" s="258">
        <f t="shared" si="30"/>
        <v>0</v>
      </c>
      <c r="M64" s="258">
        <f t="shared" si="30"/>
        <v>0</v>
      </c>
      <c r="N64" s="258">
        <f t="shared" si="30"/>
        <v>0</v>
      </c>
      <c r="O64" s="258">
        <f t="shared" si="30"/>
        <v>0</v>
      </c>
      <c r="P64" s="366">
        <f t="shared" si="30"/>
        <v>0</v>
      </c>
      <c r="Q64" s="367"/>
      <c r="R64" s="247"/>
      <c r="S64" s="73"/>
      <c r="U64" s="73"/>
      <c r="V64" s="73"/>
    </row>
    <row r="65" spans="2:24" ht="13.5" thickBot="1" x14ac:dyDescent="0.3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5" customHeight="1" thickBot="1" x14ac:dyDescent="0.3">
      <c r="B66" s="474" t="s">
        <v>226</v>
      </c>
      <c r="C66" s="475"/>
      <c r="D66" s="475"/>
      <c r="E66" s="475"/>
      <c r="F66" s="475"/>
      <c r="G66" s="475"/>
      <c r="H66" s="475"/>
      <c r="I66" s="475"/>
      <c r="J66" s="475"/>
      <c r="K66" s="476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3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2.5" thickBot="1" x14ac:dyDescent="0.3">
      <c r="B68" s="281" t="s">
        <v>227</v>
      </c>
      <c r="C68" s="282" t="s">
        <v>228</v>
      </c>
      <c r="D68" s="283"/>
      <c r="E68" s="283"/>
      <c r="F68" s="283"/>
      <c r="G68" s="283"/>
      <c r="H68" s="332"/>
      <c r="I68" s="333" t="s">
        <v>137</v>
      </c>
      <c r="J68" s="135" t="s">
        <v>138</v>
      </c>
      <c r="K68" s="136" t="s">
        <v>203</v>
      </c>
      <c r="L68" s="284" t="s">
        <v>140</v>
      </c>
      <c r="M68" s="134" t="s">
        <v>141</v>
      </c>
      <c r="N68" s="134" t="s">
        <v>142</v>
      </c>
      <c r="O68" s="334" t="s">
        <v>143</v>
      </c>
      <c r="P68" s="335" t="s">
        <v>0</v>
      </c>
      <c r="Q68" s="285"/>
      <c r="R68" s="142"/>
      <c r="U68" s="73"/>
      <c r="V68" s="73"/>
    </row>
    <row r="69" spans="2:24" ht="24" customHeight="1" x14ac:dyDescent="0.25">
      <c r="B69" s="236" t="s">
        <v>229</v>
      </c>
      <c r="C69" s="288" t="s">
        <v>230</v>
      </c>
      <c r="D69" s="336"/>
      <c r="E69" s="336"/>
      <c r="F69" s="336"/>
      <c r="G69" s="336"/>
      <c r="H69" s="337"/>
      <c r="I69" s="338">
        <f>J69+K69</f>
        <v>28179</v>
      </c>
      <c r="J69" s="338">
        <f>'Recettes et simulat'!G16</f>
        <v>6804</v>
      </c>
      <c r="K69" s="339">
        <f>'Recettes et simulat'!J28</f>
        <v>21375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3">
      <c r="B70" s="253" t="s">
        <v>231</v>
      </c>
      <c r="C70" s="254" t="s">
        <v>232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5" customHeight="1" thickBot="1" x14ac:dyDescent="0.3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5" customHeight="1" thickBot="1" x14ac:dyDescent="0.3">
      <c r="B72" s="309" t="s">
        <v>233</v>
      </c>
      <c r="C72" s="309"/>
      <c r="D72" s="310"/>
      <c r="E72" s="311"/>
      <c r="F72" s="310"/>
      <c r="G72" s="312"/>
      <c r="H72" s="313"/>
      <c r="I72" s="314">
        <f>I69+I70</f>
        <v>28179</v>
      </c>
      <c r="J72" s="314">
        <f>J69+J70</f>
        <v>6804</v>
      </c>
      <c r="K72" s="315">
        <f>K69+K70</f>
        <v>21375</v>
      </c>
      <c r="L72" s="314">
        <f t="shared" ref="L72:O72" si="31">L69+L70</f>
        <v>0</v>
      </c>
      <c r="M72" s="314">
        <f t="shared" si="31"/>
        <v>0</v>
      </c>
      <c r="N72" s="314">
        <f t="shared" si="31"/>
        <v>0</v>
      </c>
      <c r="O72" s="314">
        <f t="shared" si="31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 x14ac:dyDescent="0.3">
      <c r="B73" s="274"/>
      <c r="C73" s="302"/>
      <c r="D73" s="355"/>
      <c r="E73" s="355"/>
      <c r="F73" s="355"/>
      <c r="G73" s="356"/>
      <c r="H73" s="356" t="s">
        <v>234</v>
      </c>
      <c r="I73" s="357"/>
      <c r="J73" s="357"/>
      <c r="K73" s="358">
        <f>IF(E8=0,0,K72/$E$8)</f>
        <v>7125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3.5" thickBot="1" x14ac:dyDescent="0.3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5" customHeight="1" thickBot="1" x14ac:dyDescent="0.3">
      <c r="B75" s="309" t="s">
        <v>235</v>
      </c>
      <c r="C75" s="309"/>
      <c r="D75" s="310"/>
      <c r="E75" s="311"/>
      <c r="F75" s="310"/>
      <c r="G75" s="312"/>
      <c r="H75" s="313"/>
      <c r="I75" s="314">
        <f t="shared" ref="I75:P75" si="32">I72-I62</f>
        <v>-81534.350000000006</v>
      </c>
      <c r="J75" s="314">
        <f t="shared" si="32"/>
        <v>-90809.4064516129</v>
      </c>
      <c r="K75" s="315">
        <f t="shared" si="32"/>
        <v>9275.0564516129034</v>
      </c>
      <c r="L75" s="314">
        <f t="shared" si="32"/>
        <v>0</v>
      </c>
      <c r="M75" s="314">
        <f t="shared" si="32"/>
        <v>0</v>
      </c>
      <c r="N75" s="314">
        <f t="shared" si="32"/>
        <v>0</v>
      </c>
      <c r="O75" s="314">
        <f t="shared" si="32"/>
        <v>0</v>
      </c>
      <c r="P75" s="315">
        <f t="shared" si="32"/>
        <v>0</v>
      </c>
      <c r="Q75" s="152">
        <f>IF($K$72=0,0,K75/$K$72)</f>
        <v>0.43392076966610077</v>
      </c>
      <c r="R75" s="153" t="s">
        <v>145</v>
      </c>
      <c r="U75" s="121"/>
      <c r="V75" s="121"/>
      <c r="X75" s="69"/>
    </row>
    <row r="76" spans="2:24" s="73" customFormat="1" ht="14.5" hidden="1" customHeight="1" thickBot="1" x14ac:dyDescent="0.3">
      <c r="B76" s="309" t="s">
        <v>236</v>
      </c>
      <c r="C76" s="309"/>
      <c r="D76" s="310"/>
      <c r="E76" s="311"/>
      <c r="F76" s="310"/>
      <c r="G76" s="312"/>
      <c r="H76" s="313"/>
      <c r="I76" s="314">
        <f>'Budget détaillé heures comp'!I75</f>
        <v>-47155.880000000005</v>
      </c>
      <c r="J76" s="314">
        <f>'Budget détaillé heures comp'!J75</f>
        <v>-59757.885161290324</v>
      </c>
      <c r="K76" s="315">
        <f>'Budget détaillé heures comp'!K75</f>
        <v>12602.005161290323</v>
      </c>
      <c r="L76" s="314"/>
      <c r="M76" s="314"/>
      <c r="N76" s="314"/>
      <c r="O76" s="314"/>
      <c r="P76" s="315"/>
      <c r="Q76" s="152">
        <f>IF($K$72=0,0,K76/$K$72)</f>
        <v>0.58956749292586308</v>
      </c>
      <c r="R76" s="153" t="s">
        <v>145</v>
      </c>
      <c r="U76" s="121"/>
      <c r="V76" s="121"/>
      <c r="X76" s="69"/>
    </row>
    <row r="77" spans="2:24" ht="13" x14ac:dyDescent="0.25">
      <c r="B77" s="73"/>
      <c r="C77" s="73"/>
      <c r="D77" s="73"/>
      <c r="E77" s="73"/>
      <c r="F77" s="73"/>
      <c r="G77" s="73"/>
      <c r="H77" s="110"/>
      <c r="I77" s="111"/>
      <c r="J77" s="112"/>
      <c r="K77" s="110"/>
      <c r="L77" s="110"/>
      <c r="M77" s="110"/>
      <c r="N77" s="110"/>
      <c r="O77" s="110"/>
      <c r="P77" s="110"/>
      <c r="Q77" s="69"/>
      <c r="R77" s="69"/>
      <c r="S77" s="73"/>
      <c r="T77" s="73"/>
      <c r="U77" s="73"/>
      <c r="V77" s="73"/>
      <c r="W77" s="73"/>
      <c r="X77" s="73"/>
    </row>
  </sheetData>
  <sheetProtection algorithmName="SHA-512" hashValue="bmwPVuKWUIk9eIeXWmqFMEatFs8dnuAlhgK/yQ9NhthXDZHQcapS/+ESANXr6Rk+ts0fvCQLwtfRuluNjVa5DA==" saltValue="gHPWD0qM0pkt2nHrlh8a0g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71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topLeftCell="A8" zoomScaleNormal="100" workbookViewId="0">
      <selection activeCell="D15" sqref="D15"/>
    </sheetView>
  </sheetViews>
  <sheetFormatPr baseColWidth="10" defaultColWidth="11.54296875" defaultRowHeight="12.5" x14ac:dyDescent="0.25"/>
  <cols>
    <col min="1" max="1" width="2.54296875" style="1" customWidth="1"/>
    <col min="2" max="2" width="11.54296875" style="1"/>
    <col min="3" max="3" width="34.54296875" style="1" bestFit="1" customWidth="1"/>
    <col min="4" max="4" width="9.453125" style="1" customWidth="1"/>
    <col min="5" max="5" width="15" style="1" hidden="1" customWidth="1"/>
    <col min="6" max="7" width="5.453125" style="1" hidden="1" customWidth="1"/>
    <col min="8" max="8" width="11.54296875" style="1"/>
    <col min="9" max="9" width="59.453125" style="1" bestFit="1" customWidth="1"/>
    <col min="10" max="16384" width="11.54296875" style="1"/>
  </cols>
  <sheetData>
    <row r="3" spans="2:9" x14ac:dyDescent="0.25">
      <c r="B3" s="528" t="s">
        <v>237</v>
      </c>
      <c r="C3" s="529"/>
      <c r="D3" s="529"/>
      <c r="E3" s="4"/>
      <c r="F3" s="4"/>
      <c r="G3" s="4"/>
      <c r="I3" s="8" t="s">
        <v>238</v>
      </c>
    </row>
    <row r="4" spans="2:9" x14ac:dyDescent="0.25">
      <c r="C4" s="6"/>
      <c r="D4" s="6"/>
      <c r="E4" s="6"/>
      <c r="F4" s="7"/>
      <c r="G4" s="7"/>
    </row>
    <row r="5" spans="2:9" ht="14.5" x14ac:dyDescent="0.25">
      <c r="E5" s="1" t="s">
        <v>239</v>
      </c>
      <c r="F5" s="409" t="s">
        <v>240</v>
      </c>
      <c r="G5" s="409" t="s">
        <v>241</v>
      </c>
    </row>
    <row r="6" spans="2:9" ht="14.5" x14ac:dyDescent="0.25">
      <c r="B6" s="527" t="s">
        <v>242</v>
      </c>
      <c r="C6" s="4" t="s">
        <v>243</v>
      </c>
      <c r="D6" s="3" t="s">
        <v>244</v>
      </c>
      <c r="E6" s="3">
        <v>1</v>
      </c>
      <c r="F6" s="3">
        <v>1.5</v>
      </c>
      <c r="G6" s="3">
        <v>1.5</v>
      </c>
      <c r="I6" s="5" t="s">
        <v>245</v>
      </c>
    </row>
    <row r="7" spans="2:9" ht="14.5" x14ac:dyDescent="0.25">
      <c r="B7" s="527"/>
      <c r="C7" s="4" t="s">
        <v>246</v>
      </c>
      <c r="D7" s="421" t="s">
        <v>36</v>
      </c>
      <c r="E7" s="3">
        <v>1</v>
      </c>
      <c r="F7" s="3">
        <v>1</v>
      </c>
      <c r="G7" s="3">
        <v>1</v>
      </c>
      <c r="I7" s="5" t="s">
        <v>247</v>
      </c>
    </row>
    <row r="8" spans="2:9" ht="14.5" x14ac:dyDescent="0.25">
      <c r="B8" s="527"/>
      <c r="C8" s="5" t="s">
        <v>248</v>
      </c>
      <c r="D8" s="421" t="s">
        <v>249</v>
      </c>
      <c r="E8" s="3">
        <v>1</v>
      </c>
      <c r="F8" s="3">
        <v>0.66</v>
      </c>
      <c r="G8" s="3">
        <v>0.66</v>
      </c>
      <c r="I8" s="5" t="s">
        <v>250</v>
      </c>
    </row>
    <row r="9" spans="2:9" ht="14.5" x14ac:dyDescent="0.25">
      <c r="B9" s="527" t="s">
        <v>251</v>
      </c>
      <c r="C9" s="4" t="s">
        <v>252</v>
      </c>
      <c r="D9" s="421" t="s">
        <v>76</v>
      </c>
      <c r="E9" s="421">
        <v>0</v>
      </c>
      <c r="F9" s="3">
        <v>0</v>
      </c>
      <c r="G9" s="3">
        <v>1</v>
      </c>
      <c r="I9" s="5" t="s">
        <v>253</v>
      </c>
    </row>
    <row r="10" spans="2:9" ht="14.5" x14ac:dyDescent="0.25">
      <c r="B10" s="527"/>
      <c r="C10" s="5" t="s">
        <v>254</v>
      </c>
      <c r="D10" s="421" t="s">
        <v>255</v>
      </c>
      <c r="E10" s="3">
        <v>1</v>
      </c>
      <c r="F10" s="3">
        <v>1</v>
      </c>
      <c r="G10" s="3">
        <v>1</v>
      </c>
      <c r="I10" s="5" t="s">
        <v>256</v>
      </c>
    </row>
    <row r="11" spans="2:9" ht="14.5" x14ac:dyDescent="0.25">
      <c r="B11" s="527"/>
      <c r="C11" s="5" t="s">
        <v>257</v>
      </c>
      <c r="D11" s="421" t="s">
        <v>258</v>
      </c>
      <c r="E11" s="3">
        <v>1</v>
      </c>
      <c r="F11" s="3">
        <v>1.5</v>
      </c>
      <c r="G11" s="3">
        <v>1.5</v>
      </c>
      <c r="I11" s="5" t="s">
        <v>259</v>
      </c>
    </row>
    <row r="12" spans="2:9" ht="14.5" x14ac:dyDescent="0.25">
      <c r="B12" s="527"/>
      <c r="C12" s="4" t="s">
        <v>260</v>
      </c>
      <c r="D12" s="421" t="s">
        <v>73</v>
      </c>
      <c r="E12" s="3">
        <v>0</v>
      </c>
      <c r="F12" s="3">
        <v>0</v>
      </c>
      <c r="G12" s="3">
        <v>1</v>
      </c>
      <c r="I12" s="5" t="s">
        <v>261</v>
      </c>
    </row>
    <row r="13" spans="2:9" ht="14.5" x14ac:dyDescent="0.25">
      <c r="B13" s="527"/>
      <c r="C13" s="5" t="s">
        <v>262</v>
      </c>
      <c r="D13" s="421" t="s">
        <v>263</v>
      </c>
      <c r="E13" s="3">
        <v>1</v>
      </c>
      <c r="F13" s="3">
        <v>1</v>
      </c>
      <c r="G13" s="3">
        <v>1</v>
      </c>
      <c r="I13" s="5" t="s">
        <v>88</v>
      </c>
    </row>
    <row r="14" spans="2:9" ht="14.5" x14ac:dyDescent="0.25">
      <c r="B14" s="527"/>
      <c r="C14" s="5" t="s">
        <v>264</v>
      </c>
      <c r="D14" s="421" t="s">
        <v>265</v>
      </c>
      <c r="E14" s="3">
        <v>1</v>
      </c>
      <c r="F14" s="3">
        <v>1.5</v>
      </c>
      <c r="G14" s="3">
        <v>1.5</v>
      </c>
      <c r="I14" s="5" t="s">
        <v>266</v>
      </c>
    </row>
    <row r="15" spans="2:9" ht="14.5" x14ac:dyDescent="0.25">
      <c r="B15" s="527"/>
      <c r="C15" s="4" t="s">
        <v>267</v>
      </c>
      <c r="D15" s="421" t="s">
        <v>65</v>
      </c>
      <c r="E15" s="3">
        <v>0</v>
      </c>
      <c r="F15" s="3">
        <v>0</v>
      </c>
      <c r="G15" s="3">
        <v>1</v>
      </c>
      <c r="I15" s="5" t="s">
        <v>268</v>
      </c>
    </row>
    <row r="16" spans="2:9" ht="14.5" x14ac:dyDescent="0.25">
      <c r="B16" s="527"/>
      <c r="C16" s="5" t="s">
        <v>269</v>
      </c>
      <c r="D16" s="421" t="s">
        <v>270</v>
      </c>
      <c r="E16" s="3">
        <v>1</v>
      </c>
      <c r="F16" s="3">
        <v>1</v>
      </c>
      <c r="G16" s="3">
        <v>1</v>
      </c>
      <c r="I16" s="5" t="s">
        <v>271</v>
      </c>
    </row>
    <row r="17" spans="2:19" ht="14.5" x14ac:dyDescent="0.25">
      <c r="B17" s="527"/>
      <c r="C17" s="5" t="s">
        <v>272</v>
      </c>
      <c r="D17" s="421" t="s">
        <v>273</v>
      </c>
      <c r="E17" s="3">
        <v>1</v>
      </c>
      <c r="F17" s="3">
        <v>1.5</v>
      </c>
      <c r="G17" s="3">
        <v>1.5</v>
      </c>
      <c r="I17" s="5" t="s">
        <v>274</v>
      </c>
    </row>
    <row r="18" spans="2:19" ht="14.5" x14ac:dyDescent="0.25">
      <c r="B18" s="527"/>
      <c r="C18" s="4" t="s">
        <v>275</v>
      </c>
      <c r="D18" s="421" t="s">
        <v>276</v>
      </c>
      <c r="E18" s="3">
        <v>0</v>
      </c>
      <c r="F18" s="3">
        <v>0</v>
      </c>
      <c r="G18" s="3">
        <v>1</v>
      </c>
      <c r="I18" s="2"/>
    </row>
    <row r="19" spans="2:19" ht="14.5" x14ac:dyDescent="0.25">
      <c r="B19" s="527"/>
      <c r="C19" s="5" t="s">
        <v>277</v>
      </c>
      <c r="D19" s="421" t="s">
        <v>278</v>
      </c>
      <c r="E19" s="3">
        <v>1</v>
      </c>
      <c r="F19" s="3">
        <v>1</v>
      </c>
      <c r="G19" s="3">
        <v>1</v>
      </c>
      <c r="I19" s="2"/>
    </row>
    <row r="20" spans="2:19" ht="14.5" x14ac:dyDescent="0.25">
      <c r="B20" s="527"/>
      <c r="C20" s="5" t="s">
        <v>279</v>
      </c>
      <c r="D20" s="421" t="s">
        <v>280</v>
      </c>
      <c r="E20" s="3">
        <v>1</v>
      </c>
      <c r="F20" s="3">
        <v>1.5</v>
      </c>
      <c r="G20" s="3">
        <v>1.5</v>
      </c>
    </row>
    <row r="21" spans="2:19" ht="14.5" x14ac:dyDescent="0.25">
      <c r="B21" s="527"/>
      <c r="C21" s="4" t="s">
        <v>281</v>
      </c>
      <c r="D21" s="421" t="s">
        <v>282</v>
      </c>
      <c r="E21" s="3">
        <v>1</v>
      </c>
      <c r="F21" s="3">
        <v>1</v>
      </c>
      <c r="G21" s="3">
        <v>1</v>
      </c>
    </row>
    <row r="22" spans="2:19" ht="14.5" x14ac:dyDescent="0.25">
      <c r="B22" s="527"/>
      <c r="C22" s="4" t="s">
        <v>283</v>
      </c>
      <c r="D22" s="421" t="s">
        <v>284</v>
      </c>
      <c r="E22" s="3">
        <v>0</v>
      </c>
      <c r="F22" s="3">
        <v>0</v>
      </c>
      <c r="G22" s="3">
        <v>1</v>
      </c>
    </row>
    <row r="23" spans="2:19" ht="14.5" x14ac:dyDescent="0.25">
      <c r="B23" s="527"/>
      <c r="C23" s="5" t="s">
        <v>285</v>
      </c>
      <c r="D23" s="421" t="s">
        <v>286</v>
      </c>
      <c r="E23" s="421">
        <v>1</v>
      </c>
      <c r="F23" s="3">
        <v>1</v>
      </c>
      <c r="G23" s="3">
        <v>1</v>
      </c>
    </row>
    <row r="24" spans="2:19" ht="14.5" x14ac:dyDescent="0.25">
      <c r="B24" s="527"/>
      <c r="C24" s="5" t="s">
        <v>287</v>
      </c>
      <c r="D24" s="5" t="s">
        <v>288</v>
      </c>
      <c r="E24" s="4">
        <v>1</v>
      </c>
      <c r="F24" s="3">
        <v>1.5</v>
      </c>
      <c r="G24" s="3">
        <v>1.5</v>
      </c>
    </row>
    <row r="25" spans="2:19" ht="14.5" x14ac:dyDescent="0.25">
      <c r="B25" s="527"/>
      <c r="C25" s="4" t="s">
        <v>289</v>
      </c>
      <c r="D25" s="5" t="s">
        <v>69</v>
      </c>
      <c r="E25" s="5">
        <v>0</v>
      </c>
      <c r="F25" s="3">
        <v>0</v>
      </c>
      <c r="G25" s="3">
        <v>1</v>
      </c>
    </row>
    <row r="26" spans="2:19" x14ac:dyDescent="0.25">
      <c r="B26" s="527"/>
      <c r="C26" s="5" t="s">
        <v>290</v>
      </c>
      <c r="D26" s="5" t="s">
        <v>291</v>
      </c>
      <c r="E26" s="5">
        <v>1</v>
      </c>
      <c r="F26" s="4">
        <v>1</v>
      </c>
      <c r="G26" s="4">
        <v>1</v>
      </c>
    </row>
    <row r="27" spans="2:19" x14ac:dyDescent="0.25">
      <c r="B27" s="527"/>
      <c r="C27" s="5" t="s">
        <v>292</v>
      </c>
      <c r="D27" s="5" t="s">
        <v>293</v>
      </c>
      <c r="E27" s="5">
        <v>1</v>
      </c>
      <c r="F27" s="4">
        <v>1.5</v>
      </c>
      <c r="G27" s="4">
        <v>1.5</v>
      </c>
    </row>
    <row r="31" spans="2:19" ht="13" x14ac:dyDescent="0.25">
      <c r="S31" s="121"/>
    </row>
    <row r="32" spans="2:19" ht="13" x14ac:dyDescent="0.25">
      <c r="S32" s="121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xmlns:xlrd2="http://schemas.microsoft.com/office/spreadsheetml/2017/richdata2"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baseColWidth="10" defaultColWidth="11.453125" defaultRowHeight="12.5" outlineLevelRow="2" outlineLevelCol="1" x14ac:dyDescent="0.25"/>
  <cols>
    <col min="1" max="1" width="1.453125" customWidth="1"/>
    <col min="2" max="2" width="5.54296875" customWidth="1"/>
    <col min="3" max="3" width="14.54296875" customWidth="1"/>
    <col min="4" max="4" width="16.453125" customWidth="1"/>
    <col min="5" max="5" width="14.54296875" customWidth="1"/>
    <col min="6" max="6" width="4.54296875" customWidth="1"/>
    <col min="7" max="7" width="10.54296875" customWidth="1"/>
    <col min="8" max="11" width="11" customWidth="1"/>
    <col min="12" max="16" width="11" hidden="1" customWidth="1" outlineLevel="1"/>
    <col min="17" max="17" width="9.453125" customWidth="1" collapsed="1"/>
    <col min="18" max="18" width="6.81640625" customWidth="1"/>
    <col min="19" max="19" width="6.1796875" customWidth="1"/>
    <col min="20" max="20" width="11.453125" bestFit="1" customWidth="1"/>
    <col min="21" max="21" width="24.54296875" bestFit="1" customWidth="1"/>
  </cols>
  <sheetData>
    <row r="1" spans="1:22" ht="7.4" customHeight="1" thickBot="1" x14ac:dyDescent="0.3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4" customHeight="1" thickBot="1" x14ac:dyDescent="0.3">
      <c r="A2" s="73"/>
      <c r="B2" s="474" t="s">
        <v>129</v>
      </c>
      <c r="C2" s="475"/>
      <c r="D2" s="475"/>
      <c r="E2" s="475"/>
      <c r="F2" s="475"/>
      <c r="G2" s="475"/>
      <c r="H2" s="475"/>
      <c r="I2" s="475"/>
      <c r="J2" s="475"/>
      <c r="K2" s="476"/>
      <c r="L2" s="474" t="s">
        <v>130</v>
      </c>
      <c r="M2" s="475"/>
      <c r="N2" s="475"/>
      <c r="O2" s="475"/>
      <c r="P2" s="476"/>
      <c r="Q2" s="69"/>
      <c r="R2" s="69"/>
      <c r="S2" s="73"/>
      <c r="T2" s="73"/>
      <c r="U2" s="73"/>
      <c r="V2" s="73"/>
    </row>
    <row r="3" spans="1:22" ht="6.75" customHeight="1" x14ac:dyDescent="0.2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2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4" customHeight="1" x14ac:dyDescent="0.25">
      <c r="A5" s="73"/>
      <c r="B5" s="73"/>
      <c r="C5" s="114" t="s">
        <v>79</v>
      </c>
      <c r="D5" s="515" t="str">
        <f>'Recettes et simulat'!D4</f>
        <v>Université Lumière Lyon 2</v>
      </c>
      <c r="E5" s="516"/>
      <c r="F5" s="73"/>
      <c r="G5" s="114" t="s">
        <v>81</v>
      </c>
      <c r="H5" s="515" t="str">
        <f>'Recettes et simulat'!H4</f>
        <v>Master</v>
      </c>
      <c r="I5" s="517"/>
      <c r="J5" s="517"/>
      <c r="K5" s="516"/>
      <c r="L5" s="110"/>
      <c r="M5" s="110"/>
      <c r="N5" s="110"/>
      <c r="O5" s="110"/>
      <c r="P5" s="110"/>
      <c r="Q5" s="69"/>
      <c r="R5" s="69"/>
      <c r="S5" s="73"/>
      <c r="T5" s="73"/>
      <c r="U5" s="77" t="s">
        <v>89</v>
      </c>
      <c r="V5" s="73"/>
    </row>
    <row r="6" spans="1:22" ht="22.4" customHeight="1" x14ac:dyDescent="0.25">
      <c r="A6" s="73"/>
      <c r="B6" s="73"/>
      <c r="C6" s="113" t="s">
        <v>83</v>
      </c>
      <c r="D6" s="515">
        <f>'Recettes et simulat'!D5</f>
        <v>34101</v>
      </c>
      <c r="E6" s="516"/>
      <c r="F6" s="73"/>
      <c r="G6" s="114" t="s">
        <v>131</v>
      </c>
      <c r="H6" s="515" t="str">
        <f>'Recettes et simulat'!H5</f>
        <v xml:space="preserve">Mention LEA_
Parcours : Master CILA - Marketing &amp; Digital Business, Commerce International et Langues Appliquées </v>
      </c>
      <c r="I6" s="517"/>
      <c r="J6" s="517"/>
      <c r="K6" s="516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4" customHeight="1" x14ac:dyDescent="0.25">
      <c r="A7" s="73"/>
      <c r="B7" s="73"/>
      <c r="C7" s="115" t="s">
        <v>86</v>
      </c>
      <c r="D7" s="116"/>
      <c r="E7" s="117">
        <f>'Recettes et simulat'!E6</f>
        <v>31</v>
      </c>
      <c r="F7" s="73"/>
      <c r="G7" s="114" t="s">
        <v>87</v>
      </c>
      <c r="H7" s="515" t="str">
        <f>'Recettes et simulat'!H6</f>
        <v>LANG - Langues</v>
      </c>
      <c r="I7" s="517"/>
      <c r="J7" s="517"/>
      <c r="K7" s="516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4" customHeight="1" x14ac:dyDescent="0.25">
      <c r="A8" s="73"/>
      <c r="B8" s="73"/>
      <c r="C8" s="115" t="s">
        <v>90</v>
      </c>
      <c r="D8" s="116"/>
      <c r="E8" s="117">
        <f>'Recettes et simulat'!E7</f>
        <v>3</v>
      </c>
      <c r="F8" s="73"/>
      <c r="G8" s="78" t="s">
        <v>91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4" customHeight="1" x14ac:dyDescent="0.2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7.149999999999999" customHeight="1" thickBot="1" x14ac:dyDescent="0.3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5" customHeight="1" thickBot="1" x14ac:dyDescent="0.3">
      <c r="A11" s="73"/>
      <c r="B11" s="474" t="s">
        <v>132</v>
      </c>
      <c r="C11" s="475"/>
      <c r="D11" s="475"/>
      <c r="E11" s="475"/>
      <c r="F11" s="475"/>
      <c r="G11" s="475"/>
      <c r="H11" s="475"/>
      <c r="I11" s="475"/>
      <c r="J11" s="475"/>
      <c r="K11" s="476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5" customHeight="1" thickBot="1" x14ac:dyDescent="0.3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5.5" thickBot="1" x14ac:dyDescent="0.3">
      <c r="B13" s="132" t="s">
        <v>133</v>
      </c>
      <c r="C13" s="521" t="s">
        <v>134</v>
      </c>
      <c r="D13" s="522"/>
      <c r="E13" s="522"/>
      <c r="F13" s="523"/>
      <c r="G13" s="133" t="s">
        <v>135</v>
      </c>
      <c r="H13" s="134" t="s">
        <v>136</v>
      </c>
      <c r="I13" s="134" t="s">
        <v>137</v>
      </c>
      <c r="J13" s="135" t="s">
        <v>138</v>
      </c>
      <c r="K13" s="136" t="s">
        <v>139</v>
      </c>
      <c r="L13" s="137" t="s">
        <v>140</v>
      </c>
      <c r="M13" s="138" t="s">
        <v>141</v>
      </c>
      <c r="N13" s="138" t="s">
        <v>142</v>
      </c>
      <c r="O13" s="139" t="s">
        <v>143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5" customHeight="1" thickBot="1" x14ac:dyDescent="0.3">
      <c r="B14" s="143" t="s">
        <v>144</v>
      </c>
      <c r="C14" s="144"/>
      <c r="D14" s="145"/>
      <c r="E14" s="145"/>
      <c r="F14" s="145"/>
      <c r="G14" s="146">
        <f>G20+G27+G32</f>
        <v>385</v>
      </c>
      <c r="H14" s="147">
        <f>IF(G20+G27+G32=0,0,(I20+I27+I32)/(G20+G27+G32))</f>
        <v>39.76851948051948</v>
      </c>
      <c r="I14" s="148">
        <f>I20+I32+I27</f>
        <v>15310.88</v>
      </c>
      <c r="J14" s="149">
        <f>J20+J32+J27</f>
        <v>13675.949677419354</v>
      </c>
      <c r="K14" s="150">
        <f>K20+K32+K27</f>
        <v>1634.9303225806452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7.6487968307866444E-2</v>
      </c>
      <c r="R14" s="153" t="s">
        <v>145</v>
      </c>
      <c r="S14" s="73"/>
      <c r="T14" s="69"/>
      <c r="U14" s="69"/>
      <c r="V14" s="73"/>
    </row>
    <row r="15" spans="1:22" s="73" customFormat="1" ht="17.149999999999999" customHeight="1" outlineLevel="1" x14ac:dyDescent="0.25">
      <c r="B15" s="154" t="s">
        <v>146</v>
      </c>
      <c r="C15" s="155" t="s">
        <v>147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162"/>
      <c r="R15" s="163"/>
      <c r="S15" s="163"/>
      <c r="T15" s="163"/>
      <c r="U15" s="88"/>
      <c r="V15" s="121"/>
    </row>
    <row r="16" spans="1:22" s="121" customFormat="1" ht="17.149999999999999" customHeight="1" outlineLevel="1" x14ac:dyDescent="0.25">
      <c r="B16" s="164" t="s">
        <v>148</v>
      </c>
      <c r="C16" s="518" t="s">
        <v>23</v>
      </c>
      <c r="D16" s="519"/>
      <c r="E16" s="519"/>
      <c r="F16" s="520"/>
      <c r="G16" s="165">
        <f>'Budget détaillé'!G16</f>
        <v>158</v>
      </c>
      <c r="H16" s="166">
        <v>43.48</v>
      </c>
      <c r="I16" s="167">
        <f>H16*G16</f>
        <v>6869.8399999999992</v>
      </c>
      <c r="J16" s="167">
        <f>I16-K16</f>
        <v>6205.0167741935475</v>
      </c>
      <c r="K16" s="168">
        <f>IF($E$7=0,0,I16/$E$7*$E$8)</f>
        <v>664.82322580645155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142.70967741935482</v>
      </c>
      <c r="R16" s="171">
        <f>IF($I16=0,0,IF($P16=0,0,$G16*$J16/$I16*L16/$P16))</f>
        <v>0</v>
      </c>
      <c r="S16" s="171">
        <f t="shared" ref="S16:U19" si="1">IF($I16=0,0,IF($P16=0,0,$G16*$J16/$I16*M16/$P16))</f>
        <v>0</v>
      </c>
      <c r="T16" s="171">
        <f t="shared" si="1"/>
        <v>0</v>
      </c>
      <c r="U16" s="171">
        <f>IF($I16=0,0,IF($P16=0,0,$G16*$J16/$I16*O16/$P16))</f>
        <v>0</v>
      </c>
      <c r="V16" s="172">
        <f>G16-Q16</f>
        <v>15.290322580645181</v>
      </c>
    </row>
    <row r="17" spans="2:23" s="121" customFormat="1" ht="17.149999999999999" customHeight="1" outlineLevel="1" x14ac:dyDescent="0.25">
      <c r="B17" s="164" t="s">
        <v>149</v>
      </c>
      <c r="C17" s="518" t="s">
        <v>24</v>
      </c>
      <c r="D17" s="519"/>
      <c r="E17" s="519"/>
      <c r="F17" s="520"/>
      <c r="G17" s="165">
        <f>'Budget détaillé'!G17</f>
        <v>0</v>
      </c>
      <c r="H17" s="368">
        <f>ROUND(41.41*1.4319,2)</f>
        <v>59.29</v>
      </c>
      <c r="I17" s="173">
        <f>H17*G17</f>
        <v>0</v>
      </c>
      <c r="J17" s="167">
        <f t="shared" ref="J17:J19" si="2">I17-K17</f>
        <v>0</v>
      </c>
      <c r="K17" s="168">
        <f t="shared" ref="K17:K19" si="3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>
        <f t="shared" ref="R17:R19" si="4">IF($I17=0,0,IF($P17=0,0,$G17*$J17/$I17*L17/$P17))</f>
        <v>0</v>
      </c>
      <c r="S17" s="171">
        <f t="shared" si="1"/>
        <v>0</v>
      </c>
      <c r="T17" s="171">
        <f t="shared" si="1"/>
        <v>0</v>
      </c>
      <c r="U17" s="171">
        <f t="shared" si="1"/>
        <v>0</v>
      </c>
      <c r="V17" s="172">
        <f t="shared" ref="V17:V18" si="5">G17-Q17</f>
        <v>0</v>
      </c>
    </row>
    <row r="18" spans="2:23" s="121" customFormat="1" ht="17.149999999999999" customHeight="1" outlineLevel="1" x14ac:dyDescent="0.25">
      <c r="B18" s="164" t="s">
        <v>150</v>
      </c>
      <c r="C18" s="518" t="s">
        <v>151</v>
      </c>
      <c r="D18" s="519"/>
      <c r="E18" s="519"/>
      <c r="F18" s="520"/>
      <c r="G18" s="165">
        <f>'Budget détaillé'!G18</f>
        <v>128</v>
      </c>
      <c r="H18" s="166">
        <v>52</v>
      </c>
      <c r="I18" s="173">
        <f>H18*G18</f>
        <v>6656</v>
      </c>
      <c r="J18" s="167">
        <f t="shared" si="2"/>
        <v>6011.8709677419356</v>
      </c>
      <c r="K18" s="168">
        <f t="shared" si="3"/>
        <v>644.12903225806451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115.61290322580645</v>
      </c>
      <c r="R18" s="171">
        <f>IF($I18=0,0,IF($P18=0,0,$G18*$J18/$I18*L18/$P18))</f>
        <v>0</v>
      </c>
      <c r="S18" s="171">
        <f t="shared" si="1"/>
        <v>0</v>
      </c>
      <c r="T18" s="171">
        <f t="shared" si="1"/>
        <v>0</v>
      </c>
      <c r="U18" s="171">
        <f t="shared" si="1"/>
        <v>0</v>
      </c>
      <c r="V18" s="172">
        <f t="shared" si="5"/>
        <v>12.387096774193552</v>
      </c>
    </row>
    <row r="19" spans="2:23" s="121" customFormat="1" ht="18.649999999999999" customHeight="1" outlineLevel="1" x14ac:dyDescent="0.25">
      <c r="B19" s="164" t="s">
        <v>152</v>
      </c>
      <c r="C19" s="518" t="s">
        <v>153</v>
      </c>
      <c r="D19" s="519"/>
      <c r="E19" s="519"/>
      <c r="F19" s="520"/>
      <c r="G19" s="165">
        <f>'Budget détaillé'!G19</f>
        <v>28</v>
      </c>
      <c r="H19" s="175">
        <f>'Budget détaillé'!H19</f>
        <v>18.850000000000001</v>
      </c>
      <c r="I19" s="173">
        <f t="shared" ref="I19" si="6">H19*G19</f>
        <v>527.80000000000007</v>
      </c>
      <c r="J19" s="167">
        <f t="shared" si="2"/>
        <v>476.72258064516137</v>
      </c>
      <c r="K19" s="168">
        <f t="shared" si="3"/>
        <v>51.07741935483871</v>
      </c>
      <c r="L19" s="169"/>
      <c r="M19" s="169"/>
      <c r="N19" s="176"/>
      <c r="O19" s="79"/>
      <c r="P19" s="174">
        <f>SUM(L19:O19)</f>
        <v>0</v>
      </c>
      <c r="Q19" s="171">
        <f>IF($I19=0,0,$G19*$J19/$I19)</f>
        <v>25.29032258064516</v>
      </c>
      <c r="R19" s="171">
        <f t="shared" si="4"/>
        <v>0</v>
      </c>
      <c r="S19" s="171">
        <f>IF($I19=0,0,IF($P19=0,0,$G19*$J19/$I19*M19/$P19))</f>
        <v>0</v>
      </c>
      <c r="T19" s="171">
        <f t="shared" si="1"/>
        <v>0</v>
      </c>
      <c r="U19" s="171">
        <f t="shared" si="1"/>
        <v>0</v>
      </c>
      <c r="V19" s="172">
        <f>G19-Q19</f>
        <v>2.7096774193548399</v>
      </c>
    </row>
    <row r="20" spans="2:23" s="121" customFormat="1" ht="22.4" customHeight="1" outlineLevel="1" thickBot="1" x14ac:dyDescent="0.3">
      <c r="B20" s="524" t="s">
        <v>154</v>
      </c>
      <c r="C20" s="525"/>
      <c r="D20" s="525"/>
      <c r="E20" s="525"/>
      <c r="F20" s="526"/>
      <c r="G20" s="177">
        <f>SUM(G16:G19)</f>
        <v>314</v>
      </c>
      <c r="H20" s="178">
        <f>IF(G20=0,0,I20/G20)</f>
        <v>44.756815286624203</v>
      </c>
      <c r="I20" s="179">
        <f>SUM(I16:I19)</f>
        <v>14053.64</v>
      </c>
      <c r="J20" s="180">
        <f>SUM(J16:J19)</f>
        <v>12693.610322580644</v>
      </c>
      <c r="K20" s="181">
        <f>SUM(K16:K19)</f>
        <v>1360.0296774193548</v>
      </c>
      <c r="L20" s="182">
        <f>SUM(L16:L19)</f>
        <v>0</v>
      </c>
      <c r="M20" s="179">
        <f>SUM(M16:M19)</f>
        <v>0</v>
      </c>
      <c r="N20" s="179">
        <f t="shared" ref="N20:P20" si="7">SUM(N16:N19)</f>
        <v>0</v>
      </c>
      <c r="O20" s="179">
        <f t="shared" si="7"/>
        <v>0</v>
      </c>
      <c r="P20" s="181">
        <f t="shared" si="7"/>
        <v>0</v>
      </c>
      <c r="Q20" s="152">
        <f>IF($K$72=0,0,K20/$K$72)</f>
        <v>6.3627119411431801E-2</v>
      </c>
      <c r="R20" s="153" t="s">
        <v>145</v>
      </c>
      <c r="S20" s="73"/>
      <c r="T20" s="69"/>
      <c r="U20" s="69"/>
      <c r="V20" s="73"/>
    </row>
    <row r="21" spans="2:23" s="73" customFormat="1" ht="17.149999999999999" customHeight="1" outlineLevel="1" x14ac:dyDescent="0.25">
      <c r="B21" s="154" t="s">
        <v>155</v>
      </c>
      <c r="C21" s="155" t="s">
        <v>156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7.149999999999999" customHeight="1" outlineLevel="1" x14ac:dyDescent="0.25">
      <c r="B22" s="164" t="s">
        <v>157</v>
      </c>
      <c r="C22" s="417" t="s">
        <v>158</v>
      </c>
      <c r="D22" s="419"/>
      <c r="E22" s="419"/>
      <c r="F22" s="420"/>
      <c r="G22" s="165">
        <f>'Budget détaillé'!G22</f>
        <v>35</v>
      </c>
      <c r="H22" s="166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7">
        <f>H22*G22</f>
        <v>0</v>
      </c>
      <c r="J22" s="173">
        <f>I22-K22</f>
        <v>0</v>
      </c>
      <c r="K22" s="168">
        <f t="shared" ref="K22" si="8">IF($E$7=0,0,I22/$E$7*$E$8)</f>
        <v>0</v>
      </c>
      <c r="L22" s="169"/>
      <c r="M22" s="176"/>
      <c r="N22" s="176"/>
      <c r="O22" s="79"/>
      <c r="P22" s="170">
        <f>SUM(L22:O22)</f>
        <v>0</v>
      </c>
      <c r="Q22" s="171">
        <f>IF($I22=0,0,$G22*$J22/$I22)</f>
        <v>0</v>
      </c>
      <c r="R22" s="171">
        <f t="shared" ref="R22:T26" si="9">IF($I22=0,0,IF($P22=0,0,$G22*$J22/$I22*L22/$P22))</f>
        <v>0</v>
      </c>
      <c r="S22" s="171">
        <f t="shared" si="9"/>
        <v>0</v>
      </c>
      <c r="T22" s="171">
        <f>IF($I22=0,0,IF($P22=0,0,$G22*$J22/$I22*N22/$P22))</f>
        <v>0</v>
      </c>
      <c r="U22" s="171">
        <f t="shared" ref="U22:U26" si="10">IF($I22=0,0,IF($P22=0,0,$G22*$J22/$I22*O22/$P22))</f>
        <v>0</v>
      </c>
      <c r="V22" s="171">
        <f t="shared" ref="V22:V30" si="11">G22-Q22</f>
        <v>35</v>
      </c>
      <c r="W22" s="88"/>
    </row>
    <row r="23" spans="2:23" s="121" customFormat="1" ht="17.149999999999999" customHeight="1" outlineLevel="1" x14ac:dyDescent="0.25">
      <c r="B23" s="164" t="s">
        <v>159</v>
      </c>
      <c r="C23" s="518" t="s">
        <v>160</v>
      </c>
      <c r="D23" s="519"/>
      <c r="E23" s="519"/>
      <c r="F23" s="520"/>
      <c r="G23" s="165">
        <f>'Budget détaillé'!G23</f>
        <v>0</v>
      </c>
      <c r="H23" s="166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 t="shared" si="9"/>
        <v>0</v>
      </c>
      <c r="S23" s="171">
        <f t="shared" si="9"/>
        <v>0</v>
      </c>
      <c r="T23" s="171">
        <f t="shared" si="9"/>
        <v>0</v>
      </c>
      <c r="U23" s="171">
        <f t="shared" si="10"/>
        <v>0</v>
      </c>
      <c r="V23" s="171">
        <f t="shared" si="11"/>
        <v>0</v>
      </c>
      <c r="W23" s="88"/>
    </row>
    <row r="24" spans="2:23" s="121" customFormat="1" ht="17.149999999999999" customHeight="1" outlineLevel="1" x14ac:dyDescent="0.25">
      <c r="B24" s="164" t="s">
        <v>161</v>
      </c>
      <c r="C24" s="518" t="s">
        <v>162</v>
      </c>
      <c r="D24" s="519"/>
      <c r="E24" s="519"/>
      <c r="F24" s="520"/>
      <c r="G24" s="165">
        <f>'Budget détaillé'!G24</f>
        <v>0</v>
      </c>
      <c r="H24" s="166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 t="shared" si="9"/>
        <v>0</v>
      </c>
      <c r="S24" s="171">
        <f t="shared" si="9"/>
        <v>0</v>
      </c>
      <c r="T24" s="171">
        <f t="shared" si="9"/>
        <v>0</v>
      </c>
      <c r="U24" s="171">
        <f t="shared" si="10"/>
        <v>0</v>
      </c>
      <c r="V24" s="171">
        <f t="shared" si="11"/>
        <v>0</v>
      </c>
      <c r="W24" s="88"/>
    </row>
    <row r="25" spans="2:23" s="121" customFormat="1" ht="17.149999999999999" customHeight="1" outlineLevel="1" x14ac:dyDescent="0.25">
      <c r="B25" s="164" t="s">
        <v>163</v>
      </c>
      <c r="C25" s="518" t="s">
        <v>164</v>
      </c>
      <c r="D25" s="519"/>
      <c r="E25" s="519"/>
      <c r="F25" s="520"/>
      <c r="G25" s="165">
        <f>'Budget détaillé'!G25</f>
        <v>9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18.850000000000001</v>
      </c>
      <c r="I25" s="167">
        <f>H25*G25</f>
        <v>169.65</v>
      </c>
      <c r="J25" s="167">
        <f>I25-K25</f>
        <v>0</v>
      </c>
      <c r="K25" s="168">
        <f>I25</f>
        <v>169.65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 t="shared" si="9"/>
        <v>0</v>
      </c>
      <c r="S25" s="171">
        <f t="shared" si="9"/>
        <v>0</v>
      </c>
      <c r="T25" s="171">
        <f t="shared" si="9"/>
        <v>0</v>
      </c>
      <c r="U25" s="171">
        <f t="shared" si="10"/>
        <v>0</v>
      </c>
      <c r="V25" s="171">
        <f t="shared" si="11"/>
        <v>9</v>
      </c>
      <c r="W25" s="88"/>
    </row>
    <row r="26" spans="2:23" s="121" customFormat="1" ht="17.149999999999999" customHeight="1" outlineLevel="1" x14ac:dyDescent="0.25">
      <c r="B26" s="164" t="s">
        <v>165</v>
      </c>
      <c r="C26" s="518" t="s">
        <v>166</v>
      </c>
      <c r="D26" s="519"/>
      <c r="E26" s="519"/>
      <c r="F26" s="520"/>
      <c r="G26" s="165">
        <f>'Budget détaillé'!G26</f>
        <v>15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37.721999999999994</v>
      </c>
      <c r="I26" s="167">
        <f>H26*G26</f>
        <v>565.82999999999993</v>
      </c>
      <c r="J26" s="167">
        <f>I26-K26</f>
        <v>511.07225806451606</v>
      </c>
      <c r="K26" s="168">
        <f t="shared" ref="K26" si="12">IF($E$7=0,0,I26/$E$7*$E$8)</f>
        <v>54.757741935483864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13.548387096774194</v>
      </c>
      <c r="R26" s="171">
        <f t="shared" si="9"/>
        <v>0</v>
      </c>
      <c r="S26" s="171">
        <f t="shared" si="9"/>
        <v>0</v>
      </c>
      <c r="T26" s="171">
        <f t="shared" si="9"/>
        <v>0</v>
      </c>
      <c r="U26" s="171">
        <f t="shared" si="10"/>
        <v>0</v>
      </c>
      <c r="V26" s="171">
        <f t="shared" si="11"/>
        <v>1.4516129032258061</v>
      </c>
      <c r="W26" s="88"/>
    </row>
    <row r="27" spans="2:23" s="121" customFormat="1" ht="21.65" customHeight="1" outlineLevel="1" thickBot="1" x14ac:dyDescent="0.3">
      <c r="B27" s="524" t="s">
        <v>167</v>
      </c>
      <c r="C27" s="525"/>
      <c r="D27" s="525"/>
      <c r="E27" s="525"/>
      <c r="F27" s="526"/>
      <c r="G27" s="177">
        <f>SUM(G22:G26)</f>
        <v>59</v>
      </c>
      <c r="H27" s="178">
        <f>IF(G27=0,0,I27/G27)</f>
        <v>12.465762711864405</v>
      </c>
      <c r="I27" s="178">
        <f>SUM(I22:I26)</f>
        <v>735.4799999999999</v>
      </c>
      <c r="J27" s="178">
        <f t="shared" ref="J27:K27" si="13">SUM(J22:J26)</f>
        <v>511.07225806451606</v>
      </c>
      <c r="K27" s="178">
        <f t="shared" si="13"/>
        <v>224.40774193548387</v>
      </c>
      <c r="L27" s="184">
        <f>SUM(L22:L26)</f>
        <v>0</v>
      </c>
      <c r="M27" s="185">
        <f>SUM(M22:M26)</f>
        <v>0</v>
      </c>
      <c r="N27" s="186">
        <f t="shared" ref="N27:O27" si="14">SUM(N22:N26)</f>
        <v>0</v>
      </c>
      <c r="O27" s="179">
        <f t="shared" si="14"/>
        <v>0</v>
      </c>
      <c r="P27" s="181">
        <f t="shared" ref="P27" si="15">SUM(P22:P25)</f>
        <v>0</v>
      </c>
      <c r="Q27" s="152">
        <f>IF($K$72=0,0,K27/$K$72)</f>
        <v>1.0498607809847198E-2</v>
      </c>
      <c r="R27" s="153" t="s">
        <v>145</v>
      </c>
      <c r="S27" s="73"/>
      <c r="T27" s="120"/>
    </row>
    <row r="28" spans="2:23" s="121" customFormat="1" ht="17.149999999999999" customHeight="1" outlineLevel="1" x14ac:dyDescent="0.25">
      <c r="B28" s="187" t="s">
        <v>168</v>
      </c>
      <c r="C28" s="188" t="s">
        <v>169</v>
      </c>
      <c r="D28" s="119"/>
      <c r="E28" s="119"/>
      <c r="F28" s="189"/>
      <c r="G28" s="190"/>
      <c r="H28" s="191"/>
      <c r="I28" s="190"/>
      <c r="J28" s="190"/>
      <c r="K28" s="192"/>
      <c r="L28" s="193"/>
      <c r="M28" s="194"/>
      <c r="N28" s="194"/>
      <c r="O28" s="194"/>
      <c r="P28" s="195"/>
      <c r="Q28" s="162"/>
      <c r="R28" s="196">
        <f t="shared" ref="R28:U31" si="16">IF($I28=0,0,IF($P28=0,0,$G28*$J28/$I28*L28/$P28))</f>
        <v>0</v>
      </c>
      <c r="S28" s="196">
        <f t="shared" si="16"/>
        <v>0</v>
      </c>
      <c r="T28" s="196">
        <f t="shared" si="16"/>
        <v>0</v>
      </c>
      <c r="U28" s="197">
        <f t="shared" si="16"/>
        <v>0</v>
      </c>
      <c r="V28" s="198"/>
    </row>
    <row r="29" spans="2:23" s="121" customFormat="1" ht="17.149999999999999" customHeight="1" outlineLevel="1" x14ac:dyDescent="0.25">
      <c r="B29" s="164" t="s">
        <v>170</v>
      </c>
      <c r="C29" s="518" t="s">
        <v>171</v>
      </c>
      <c r="D29" s="519"/>
      <c r="E29" s="519"/>
      <c r="F29" s="520"/>
      <c r="G29" s="79">
        <f>'Budget détaillé'!G29</f>
        <v>12</v>
      </c>
      <c r="H29" s="166">
        <f>+H16</f>
        <v>43.48</v>
      </c>
      <c r="I29" s="199">
        <f>H29*G29</f>
        <v>521.76</v>
      </c>
      <c r="J29" s="167">
        <f t="shared" ref="J29:J31" si="17">I29-K29</f>
        <v>471.26709677419353</v>
      </c>
      <c r="K29" s="168">
        <f t="shared" ref="K29:K31" si="18">IF($E$7=0,0,I29/$E$7*$E$8)</f>
        <v>50.492903225806458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10.838709677419354</v>
      </c>
      <c r="R29" s="171">
        <f t="shared" si="16"/>
        <v>0</v>
      </c>
      <c r="S29" s="171">
        <f t="shared" si="16"/>
        <v>0</v>
      </c>
      <c r="T29" s="171">
        <f t="shared" si="16"/>
        <v>0</v>
      </c>
      <c r="U29" s="171">
        <f>IF($I29=0,0,IF($P29=0,0,$G29*$J29/$I29*O29/$P29))</f>
        <v>0</v>
      </c>
      <c r="V29" s="172">
        <f t="shared" si="11"/>
        <v>1.1612903225806459</v>
      </c>
      <c r="W29" s="201"/>
    </row>
    <row r="30" spans="2:23" s="121" customFormat="1" ht="17.149999999999999" customHeight="1" outlineLevel="1" x14ac:dyDescent="0.25">
      <c r="B30" s="164" t="s">
        <v>172</v>
      </c>
      <c r="C30" s="518" t="s">
        <v>173</v>
      </c>
      <c r="D30" s="519"/>
      <c r="E30" s="519"/>
      <c r="F30" s="520"/>
      <c r="G30" s="79">
        <f>'Budget détaillé'!G30</f>
        <v>0</v>
      </c>
      <c r="H30" s="166">
        <f>$H$20</f>
        <v>44.756815286624203</v>
      </c>
      <c r="I30" s="199">
        <f>H30*G30</f>
        <v>0</v>
      </c>
      <c r="J30" s="167">
        <f t="shared" si="17"/>
        <v>0</v>
      </c>
      <c r="K30" s="168">
        <f>I30</f>
        <v>0</v>
      </c>
      <c r="L30" s="200"/>
      <c r="M30" s="169"/>
      <c r="N30" s="79"/>
      <c r="O30" s="79"/>
      <c r="P30" s="174">
        <f>SUM(L30:O30)</f>
        <v>0</v>
      </c>
      <c r="Q30" s="171">
        <f t="shared" ref="Q30:Q31" si="19">IF($I30=0,0,$G30*$J30/$I30)</f>
        <v>0</v>
      </c>
      <c r="R30" s="171">
        <f t="shared" si="16"/>
        <v>0</v>
      </c>
      <c r="S30" s="171">
        <f t="shared" si="16"/>
        <v>0</v>
      </c>
      <c r="T30" s="171">
        <f t="shared" si="16"/>
        <v>0</v>
      </c>
      <c r="U30" s="171">
        <f t="shared" si="16"/>
        <v>0</v>
      </c>
      <c r="V30" s="172">
        <f t="shared" si="11"/>
        <v>0</v>
      </c>
      <c r="W30" s="201"/>
    </row>
    <row r="31" spans="2:23" s="121" customFormat="1" ht="17.149999999999999" customHeight="1" outlineLevel="1" x14ac:dyDescent="0.25">
      <c r="B31" s="164" t="s">
        <v>174</v>
      </c>
      <c r="C31" s="418" t="s">
        <v>26</v>
      </c>
      <c r="D31" s="419"/>
      <c r="E31" s="419"/>
      <c r="F31" s="420"/>
      <c r="G31" s="79">
        <f>'Budget détaillé'!G31</f>
        <v>0</v>
      </c>
      <c r="H31" s="166">
        <f>$H$20</f>
        <v>44.756815286624203</v>
      </c>
      <c r="I31" s="203">
        <f>H31*G31</f>
        <v>0</v>
      </c>
      <c r="J31" s="167">
        <f t="shared" si="17"/>
        <v>0</v>
      </c>
      <c r="K31" s="168">
        <f t="shared" si="18"/>
        <v>0</v>
      </c>
      <c r="L31" s="204"/>
      <c r="M31" s="79"/>
      <c r="N31" s="79"/>
      <c r="O31" s="79"/>
      <c r="P31" s="174">
        <f>SUM(L31:O31)</f>
        <v>0</v>
      </c>
      <c r="Q31" s="171">
        <f t="shared" si="19"/>
        <v>0</v>
      </c>
      <c r="R31" s="171">
        <f t="shared" si="16"/>
        <v>0</v>
      </c>
      <c r="S31" s="171">
        <f t="shared" si="16"/>
        <v>0</v>
      </c>
      <c r="T31" s="171">
        <f t="shared" si="16"/>
        <v>0</v>
      </c>
      <c r="U31" s="171">
        <f t="shared" si="16"/>
        <v>0</v>
      </c>
      <c r="V31" s="172">
        <f>G31-Q31</f>
        <v>0</v>
      </c>
      <c r="W31" s="201"/>
    </row>
    <row r="32" spans="2:23" s="121" customFormat="1" ht="21" customHeight="1" outlineLevel="1" thickBot="1" x14ac:dyDescent="0.3">
      <c r="B32" s="530" t="s">
        <v>175</v>
      </c>
      <c r="C32" s="531"/>
      <c r="D32" s="531"/>
      <c r="E32" s="531"/>
      <c r="F32" s="532"/>
      <c r="G32" s="205">
        <f>SUM(G29:G31)</f>
        <v>12</v>
      </c>
      <c r="H32" s="206">
        <f>IF(G32=0,0,I32/G32)</f>
        <v>43.48</v>
      </c>
      <c r="I32" s="206">
        <f>SUM(I29:I31)</f>
        <v>521.76</v>
      </c>
      <c r="J32" s="206">
        <f>SUM(J29:J31)</f>
        <v>471.26709677419353</v>
      </c>
      <c r="K32" s="207">
        <f>SUM(K29:K31)</f>
        <v>50.492903225806458</v>
      </c>
      <c r="L32" s="182">
        <f t="shared" ref="L32:M32" si="20">SUM(L29:L31)</f>
        <v>0</v>
      </c>
      <c r="M32" s="179">
        <f t="shared" si="20"/>
        <v>0</v>
      </c>
      <c r="N32" s="179">
        <f>SUM(N29:N31)</f>
        <v>0</v>
      </c>
      <c r="O32" s="179">
        <f>SUM(O29:O31)</f>
        <v>0</v>
      </c>
      <c r="P32" s="181">
        <f t="shared" ref="P32" si="21">SUM(P28:P31)</f>
        <v>0</v>
      </c>
      <c r="Q32" s="152">
        <f>IF($K$72=0,0,K32/$K$72)</f>
        <v>2.3622410865874366E-3</v>
      </c>
      <c r="R32" s="153" t="s">
        <v>145</v>
      </c>
      <c r="S32" s="73"/>
      <c r="T32" s="120"/>
      <c r="U32" s="70"/>
    </row>
    <row r="33" spans="2:22" s="121" customFormat="1" ht="21" customHeight="1" outlineLevel="1" x14ac:dyDescent="0.25">
      <c r="B33" s="208"/>
      <c r="C33" s="209"/>
      <c r="D33" s="210"/>
      <c r="E33" s="211"/>
      <c r="F33" s="211"/>
      <c r="G33" s="211"/>
      <c r="H33" s="212" t="s">
        <v>176</v>
      </c>
      <c r="I33" s="213">
        <f>K33+J33</f>
        <v>385</v>
      </c>
      <c r="J33" s="213">
        <f>SUM(Q16:Q19)+SUM(Q22:Q26)+SUM(Q29:Q31)</f>
        <v>308</v>
      </c>
      <c r="K33" s="214">
        <f>SUM(V16:V19)+SUM(V22:V26)+SUM(V29:V31)</f>
        <v>77.000000000000028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 x14ac:dyDescent="0.3">
      <c r="B34" s="220"/>
      <c r="C34" s="221"/>
      <c r="D34" s="222"/>
      <c r="E34" s="223"/>
      <c r="F34" s="223"/>
      <c r="G34" s="223"/>
      <c r="H34" s="224" t="s">
        <v>177</v>
      </c>
      <c r="I34" s="225">
        <f>IF($E$7=0,0,(I32+I20+I27)/$E$7)</f>
        <v>493.89935483870966</v>
      </c>
      <c r="J34" s="226">
        <f>IF($E$7-$E$8=0,0,(J32+J20+J27)/($E$7-$E$8))</f>
        <v>488.42677419354834</v>
      </c>
      <c r="K34" s="227">
        <f>IF($E$8=0,0,(K32+K20+K27)/$E$8)</f>
        <v>544.97677419354841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4" customHeight="1" thickBot="1" x14ac:dyDescent="0.3">
      <c r="B35" s="228" t="s">
        <v>178</v>
      </c>
      <c r="C35" s="229"/>
      <c r="D35" s="230"/>
      <c r="E35" s="230"/>
      <c r="F35" s="230"/>
      <c r="G35" s="230"/>
      <c r="H35" s="231"/>
      <c r="I35" s="232">
        <f t="shared" ref="I35:P35" si="22">SUM(I36:I44)</f>
        <v>1800</v>
      </c>
      <c r="J35" s="233">
        <f t="shared" si="22"/>
        <v>1141.9354838709678</v>
      </c>
      <c r="K35" s="234">
        <f t="shared" si="22"/>
        <v>658.0645161290322</v>
      </c>
      <c r="L35" s="151">
        <f t="shared" si="22"/>
        <v>0</v>
      </c>
      <c r="M35" s="147">
        <f t="shared" si="22"/>
        <v>0</v>
      </c>
      <c r="N35" s="148">
        <f t="shared" si="22"/>
        <v>0</v>
      </c>
      <c r="O35" s="147">
        <f t="shared" si="22"/>
        <v>0</v>
      </c>
      <c r="P35" s="235">
        <f t="shared" si="22"/>
        <v>0</v>
      </c>
      <c r="Q35" s="152">
        <f>IF($K$72=0,0,K35/$K$72)</f>
        <v>3.0786644029428406E-2</v>
      </c>
      <c r="R35" s="153" t="s">
        <v>145</v>
      </c>
      <c r="U35" s="121"/>
      <c r="V35" s="121"/>
    </row>
    <row r="36" spans="2:22" s="121" customFormat="1" ht="17.149999999999999" customHeight="1" outlineLevel="1" x14ac:dyDescent="0.25">
      <c r="B36" s="236" t="s">
        <v>179</v>
      </c>
      <c r="C36" s="237" t="s">
        <v>180</v>
      </c>
      <c r="D36" s="238"/>
      <c r="E36" s="238"/>
      <c r="F36" s="238"/>
      <c r="G36" s="238"/>
      <c r="H36" s="238"/>
      <c r="I36" s="239">
        <f>'Budget détaillé'!I36</f>
        <v>0</v>
      </c>
      <c r="J36" s="240">
        <f>'Budget détaillé'!J36</f>
        <v>0</v>
      </c>
      <c r="K36" s="241">
        <f>'Budget détaillé'!K36</f>
        <v>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7.149999999999999" customHeight="1" outlineLevel="1" x14ac:dyDescent="0.25">
      <c r="B37" s="97" t="s">
        <v>181</v>
      </c>
      <c r="C37" s="248" t="s">
        <v>182</v>
      </c>
      <c r="D37" s="249"/>
      <c r="E37" s="249"/>
      <c r="F37" s="249"/>
      <c r="G37" s="249"/>
      <c r="H37" s="249"/>
      <c r="I37" s="250">
        <f>'Budget détaillé'!I37</f>
        <v>0</v>
      </c>
      <c r="J37" s="166">
        <f>'Budget détaillé'!J37</f>
        <v>0</v>
      </c>
      <c r="K37" s="251">
        <f>'Budget détaillé'!K37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7.149999999999999" customHeight="1" outlineLevel="1" x14ac:dyDescent="0.25">
      <c r="B38" s="97" t="s">
        <v>183</v>
      </c>
      <c r="C38" s="248" t="s">
        <v>184</v>
      </c>
      <c r="D38" s="249"/>
      <c r="E38" s="249"/>
      <c r="F38" s="249"/>
      <c r="G38" s="249"/>
      <c r="H38" s="249"/>
      <c r="I38" s="250">
        <f>'Budget détaillé'!I38</f>
        <v>0</v>
      </c>
      <c r="J38" s="166">
        <f>'Budget détaillé'!J38</f>
        <v>0</v>
      </c>
      <c r="K38" s="251">
        <f>'Budget détaillé'!K38</f>
        <v>0</v>
      </c>
      <c r="L38" s="200"/>
      <c r="M38" s="169"/>
      <c r="N38" s="252"/>
      <c r="O38" s="169"/>
      <c r="P38" s="174">
        <f t="shared" ref="P38:P44" si="23">SUM(L38:O38)</f>
        <v>0</v>
      </c>
      <c r="Q38" s="246"/>
      <c r="R38" s="247"/>
      <c r="S38" s="73"/>
    </row>
    <row r="39" spans="2:22" s="121" customFormat="1" ht="17.149999999999999" customHeight="1" outlineLevel="1" x14ac:dyDescent="0.25">
      <c r="B39" s="97" t="s">
        <v>185</v>
      </c>
      <c r="C39" s="248" t="s">
        <v>186</v>
      </c>
      <c r="D39" s="249"/>
      <c r="E39" s="249"/>
      <c r="F39" s="249"/>
      <c r="G39" s="249"/>
      <c r="H39" s="249"/>
      <c r="I39" s="250">
        <f>'Budget détaillé'!I39</f>
        <v>300</v>
      </c>
      <c r="J39" s="166">
        <f>'Budget détaillé'!J39</f>
        <v>270.9677419354839</v>
      </c>
      <c r="K39" s="251">
        <f>'Budget détaillé'!K39</f>
        <v>29.032258064516128</v>
      </c>
      <c r="L39" s="200"/>
      <c r="M39" s="169"/>
      <c r="N39" s="252"/>
      <c r="O39" s="169"/>
      <c r="P39" s="174">
        <f t="shared" si="23"/>
        <v>0</v>
      </c>
      <c r="Q39" s="246"/>
      <c r="R39" s="247"/>
      <c r="S39" s="73"/>
    </row>
    <row r="40" spans="2:22" s="121" customFormat="1" ht="17.149999999999999" customHeight="1" outlineLevel="1" x14ac:dyDescent="0.25">
      <c r="B40" s="97" t="s">
        <v>187</v>
      </c>
      <c r="C40" s="248" t="s">
        <v>188</v>
      </c>
      <c r="D40" s="249"/>
      <c r="E40" s="249"/>
      <c r="F40" s="249"/>
      <c r="G40" s="249"/>
      <c r="H40" s="249"/>
      <c r="I40" s="250">
        <f>'Budget détaillé'!I40</f>
        <v>300</v>
      </c>
      <c r="J40" s="166">
        <f>'Budget détaillé'!J40</f>
        <v>270.9677419354839</v>
      </c>
      <c r="K40" s="251">
        <f>'Budget détaillé'!K40</f>
        <v>29.032258064516128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7.149999999999999" customHeight="1" outlineLevel="1" x14ac:dyDescent="0.25">
      <c r="B41" s="97" t="s">
        <v>189</v>
      </c>
      <c r="C41" s="248" t="s">
        <v>190</v>
      </c>
      <c r="D41" s="249"/>
      <c r="E41" s="249"/>
      <c r="F41" s="249"/>
      <c r="G41" s="249"/>
      <c r="H41" s="249"/>
      <c r="I41" s="250">
        <f>'Budget détaillé'!I41</f>
        <v>600</v>
      </c>
      <c r="J41" s="166">
        <f>'Budget détaillé'!J41</f>
        <v>600</v>
      </c>
      <c r="K41" s="251">
        <f>'Budget détaillé'!K41</f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7.149999999999999" customHeight="1" outlineLevel="1" x14ac:dyDescent="0.25">
      <c r="B42" s="97" t="s">
        <v>191</v>
      </c>
      <c r="C42" s="248" t="s">
        <v>294</v>
      </c>
      <c r="D42" s="249"/>
      <c r="E42" s="249"/>
      <c r="F42" s="249"/>
      <c r="G42" s="249"/>
      <c r="H42" s="249"/>
      <c r="I42" s="250">
        <f>'Budget détaillé'!I42</f>
        <v>600</v>
      </c>
      <c r="J42" s="166">
        <f>'Budget détaillé'!J42</f>
        <v>0</v>
      </c>
      <c r="K42" s="251">
        <f>'Budget détaillé'!K42</f>
        <v>600</v>
      </c>
      <c r="L42" s="200"/>
      <c r="M42" s="169"/>
      <c r="N42" s="252"/>
      <c r="O42" s="169"/>
      <c r="P42" s="174">
        <f t="shared" si="23"/>
        <v>0</v>
      </c>
      <c r="Q42" s="246"/>
      <c r="R42" s="247"/>
      <c r="S42" s="73"/>
    </row>
    <row r="43" spans="2:22" s="121" customFormat="1" ht="17.149999999999999" customHeight="1" outlineLevel="1" x14ac:dyDescent="0.25">
      <c r="B43" s="97" t="s">
        <v>193</v>
      </c>
      <c r="C43" s="248" t="s">
        <v>194</v>
      </c>
      <c r="D43" s="249"/>
      <c r="E43" s="249"/>
      <c r="F43" s="249"/>
      <c r="G43" s="249"/>
      <c r="H43" s="249"/>
      <c r="I43" s="250">
        <f>'Budget détaillé'!I43</f>
        <v>0</v>
      </c>
      <c r="J43" s="166">
        <f>'Budget détaillé'!J43</f>
        <v>0</v>
      </c>
      <c r="K43" s="251">
        <f>'Budget détaillé'!K43</f>
        <v>0</v>
      </c>
      <c r="L43" s="200"/>
      <c r="M43" s="169"/>
      <c r="N43" s="252"/>
      <c r="O43" s="169"/>
      <c r="P43" s="174">
        <f t="shared" si="23"/>
        <v>0</v>
      </c>
      <c r="Q43" s="246"/>
      <c r="R43" s="247"/>
      <c r="S43" s="73"/>
    </row>
    <row r="44" spans="2:22" s="121" customFormat="1" ht="17.149999999999999" customHeight="1" outlineLevel="1" thickBot="1" x14ac:dyDescent="0.3">
      <c r="B44" s="253" t="s">
        <v>195</v>
      </c>
      <c r="C44" s="254" t="s">
        <v>196</v>
      </c>
      <c r="D44" s="255"/>
      <c r="E44" s="255"/>
      <c r="F44" s="255"/>
      <c r="G44" s="255"/>
      <c r="H44" s="256"/>
      <c r="I44" s="257">
        <f>'Budget détaillé'!I44</f>
        <v>0</v>
      </c>
      <c r="J44" s="258">
        <f>'Budget détaillé'!J44</f>
        <v>0</v>
      </c>
      <c r="K44" s="259">
        <f>'Budget détaillé'!K44</f>
        <v>0</v>
      </c>
      <c r="L44" s="260"/>
      <c r="M44" s="261"/>
      <c r="N44" s="262"/>
      <c r="O44" s="261"/>
      <c r="P44" s="263">
        <f t="shared" si="23"/>
        <v>0</v>
      </c>
      <c r="Q44" s="246"/>
      <c r="R44" s="247"/>
      <c r="S44" s="73"/>
    </row>
    <row r="45" spans="2:22" s="121" customFormat="1" ht="24.65" customHeight="1" outlineLevel="1" thickBot="1" x14ac:dyDescent="0.3">
      <c r="B45" s="264"/>
      <c r="C45" s="265"/>
      <c r="E45" s="266"/>
      <c r="F45" s="266"/>
      <c r="G45" s="266"/>
      <c r="H45" s="74" t="s">
        <v>197</v>
      </c>
      <c r="I45" s="267">
        <f>IF(E7=0,0,I35/$E$7)</f>
        <v>58.064516129032256</v>
      </c>
      <c r="J45" s="267">
        <f>IF(E7-E8=0,0,J35/($E$7-$E$8))</f>
        <v>40.783410138248847</v>
      </c>
      <c r="K45" s="227">
        <f>IF($E$8=0,0,K35/$E$8)</f>
        <v>219.35483870967741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5" customHeight="1" thickBot="1" x14ac:dyDescent="0.3">
      <c r="B46" s="143" t="s">
        <v>198</v>
      </c>
      <c r="C46" s="144"/>
      <c r="D46" s="145"/>
      <c r="E46" s="145"/>
      <c r="F46" s="145"/>
      <c r="G46" s="145"/>
      <c r="H46" s="268"/>
      <c r="I46" s="269">
        <f t="shared" ref="I46:P46" si="24">I35+I32+I20+I27</f>
        <v>17110.88</v>
      </c>
      <c r="J46" s="269">
        <f t="shared" si="24"/>
        <v>14817.885161290322</v>
      </c>
      <c r="K46" s="270">
        <f t="shared" si="24"/>
        <v>2292.9948387096774</v>
      </c>
      <c r="L46" s="269">
        <f t="shared" si="24"/>
        <v>0</v>
      </c>
      <c r="M46" s="269">
        <f t="shared" si="24"/>
        <v>0</v>
      </c>
      <c r="N46" s="269">
        <f t="shared" si="24"/>
        <v>0</v>
      </c>
      <c r="O46" s="269">
        <f t="shared" si="24"/>
        <v>0</v>
      </c>
      <c r="P46" s="271">
        <f t="shared" si="24"/>
        <v>0</v>
      </c>
      <c r="Q46" s="272">
        <f>IF($K$72=0,0,K46/$K$72)</f>
        <v>0.10727461233729485</v>
      </c>
      <c r="R46" s="153" t="s">
        <v>145</v>
      </c>
      <c r="S46" s="273"/>
      <c r="U46" s="70"/>
      <c r="V46" s="121"/>
    </row>
    <row r="47" spans="2:22" s="121" customFormat="1" ht="21" customHeight="1" thickBot="1" x14ac:dyDescent="0.3">
      <c r="B47" s="274"/>
      <c r="C47" s="275"/>
      <c r="D47" s="275"/>
      <c r="E47" s="276"/>
      <c r="F47" s="276"/>
      <c r="G47" s="276"/>
      <c r="H47" s="277" t="s">
        <v>199</v>
      </c>
      <c r="I47" s="225">
        <f>IF(E7=0,0,I46/E7)</f>
        <v>551.96387096774197</v>
      </c>
      <c r="J47" s="267">
        <f>IF((E7-E8)=0,0,J46/(E7-E8))</f>
        <v>529.21018433179722</v>
      </c>
      <c r="K47" s="278">
        <f>IF(E8=0,0,K46/E8)</f>
        <v>764.33161290322585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 x14ac:dyDescent="0.3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2.5" thickBot="1" x14ac:dyDescent="0.3">
      <c r="B49" s="281" t="s">
        <v>200</v>
      </c>
      <c r="C49" s="282" t="s">
        <v>201</v>
      </c>
      <c r="D49" s="283"/>
      <c r="E49" s="283"/>
      <c r="F49" s="283"/>
      <c r="G49" s="283"/>
      <c r="H49" s="135" t="s">
        <v>202</v>
      </c>
      <c r="I49" s="134" t="s">
        <v>137</v>
      </c>
      <c r="J49" s="135" t="s">
        <v>138</v>
      </c>
      <c r="K49" s="136" t="s">
        <v>203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20.149999999999999" customHeight="1" thickBot="1" x14ac:dyDescent="0.3">
      <c r="B50" s="143" t="s">
        <v>204</v>
      </c>
      <c r="C50" s="144"/>
      <c r="D50" s="145"/>
      <c r="E50" s="145"/>
      <c r="F50" s="145"/>
      <c r="G50" s="145"/>
      <c r="H50" s="268"/>
      <c r="I50" s="148">
        <f>SUM(I51:I54)</f>
        <v>28340</v>
      </c>
      <c r="J50" s="149">
        <f>SUM(J51:J54)</f>
        <v>24752</v>
      </c>
      <c r="K50" s="150">
        <f>SUM(K51:K54)</f>
        <v>3588</v>
      </c>
      <c r="L50" s="148">
        <f t="shared" ref="L50:P50" si="25">SUM(L51:L54)</f>
        <v>0</v>
      </c>
      <c r="M50" s="147">
        <f t="shared" si="25"/>
        <v>0</v>
      </c>
      <c r="N50" s="147">
        <f t="shared" si="25"/>
        <v>0</v>
      </c>
      <c r="O50" s="148">
        <f t="shared" si="25"/>
        <v>0</v>
      </c>
      <c r="P50" s="150">
        <f t="shared" si="25"/>
        <v>0</v>
      </c>
      <c r="Q50" s="183"/>
      <c r="R50" s="286"/>
    </row>
    <row r="51" spans="1:22" s="73" customFormat="1" ht="17.149999999999999" customHeight="1" outlineLevel="2" x14ac:dyDescent="0.25">
      <c r="B51" s="287" t="s">
        <v>205</v>
      </c>
      <c r="C51" s="288" t="s">
        <v>206</v>
      </c>
      <c r="D51" s="289"/>
      <c r="E51" s="289"/>
      <c r="F51" s="289"/>
      <c r="G51" s="290"/>
      <c r="H51" s="166">
        <f>'Budget détaillé'!H51</f>
        <v>312</v>
      </c>
      <c r="I51" s="166">
        <f>'Budget détaillé'!I51</f>
        <v>936</v>
      </c>
      <c r="J51" s="167">
        <f>'Budget détaillé'!J51</f>
        <v>0</v>
      </c>
      <c r="K51" s="168">
        <f>'Budget détaillé'!K51</f>
        <v>936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 x14ac:dyDescent="0.25">
      <c r="B52" s="287" t="s">
        <v>207</v>
      </c>
      <c r="C52" s="294" t="s">
        <v>208</v>
      </c>
      <c r="D52" s="295"/>
      <c r="E52" s="295"/>
      <c r="F52" s="295"/>
      <c r="G52" s="296"/>
      <c r="H52" s="166">
        <f>'Budget détaillé'!H52</f>
        <v>708</v>
      </c>
      <c r="I52" s="166">
        <f>'Budget détaillé'!I52</f>
        <v>21948</v>
      </c>
      <c r="J52" s="167">
        <f>'Budget détaillé'!J52</f>
        <v>19824</v>
      </c>
      <c r="K52" s="168">
        <f>'Budget détaillé'!K52</f>
        <v>2124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 x14ac:dyDescent="0.25">
      <c r="B53" s="287" t="s">
        <v>209</v>
      </c>
      <c r="C53" s="115" t="s">
        <v>210</v>
      </c>
      <c r="D53" s="297"/>
      <c r="E53" s="297"/>
      <c r="F53" s="297"/>
      <c r="G53" s="297"/>
      <c r="H53" s="166">
        <f>'Budget détaillé'!H53</f>
        <v>90</v>
      </c>
      <c r="I53" s="166">
        <f>'Budget détaillé'!I53</f>
        <v>2790</v>
      </c>
      <c r="J53" s="167">
        <f>'Budget détaillé'!J53</f>
        <v>2520</v>
      </c>
      <c r="K53" s="168">
        <f>'Budget détaillé'!K53</f>
        <v>270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 x14ac:dyDescent="0.3">
      <c r="B54" s="287" t="s">
        <v>211</v>
      </c>
      <c r="C54" s="115" t="s">
        <v>212</v>
      </c>
      <c r="D54" s="297"/>
      <c r="E54" s="297"/>
      <c r="F54" s="297"/>
      <c r="G54" s="297"/>
      <c r="H54" s="166">
        <f>'Budget détaillé'!H54</f>
        <v>86</v>
      </c>
      <c r="I54" s="166">
        <f>'Budget détaillé'!I54</f>
        <v>2666</v>
      </c>
      <c r="J54" s="167">
        <f>'Budget détaillé'!J54</f>
        <v>2408</v>
      </c>
      <c r="K54" s="168">
        <f>'Budget détaillé'!K54</f>
        <v>258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399999999999999" customHeight="1" thickBot="1" x14ac:dyDescent="0.3">
      <c r="B55" s="143" t="s">
        <v>213</v>
      </c>
      <c r="C55" s="144"/>
      <c r="D55" s="145"/>
      <c r="E55" s="145"/>
      <c r="F55" s="145"/>
      <c r="G55" s="145"/>
      <c r="H55" s="268"/>
      <c r="I55" s="148">
        <f>SUM(I56:I58)</f>
        <v>29884</v>
      </c>
      <c r="J55" s="149">
        <f>SUM(J56:J58)</f>
        <v>26992</v>
      </c>
      <c r="K55" s="150">
        <f>SUM(K56:K58)</f>
        <v>2892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7.149999999999999" customHeight="1" outlineLevel="1" x14ac:dyDescent="0.25">
      <c r="B56" s="97" t="s">
        <v>214</v>
      </c>
      <c r="C56" s="248" t="s">
        <v>215</v>
      </c>
      <c r="D56" s="249"/>
      <c r="E56" s="249"/>
      <c r="F56" s="249"/>
      <c r="G56" s="249"/>
      <c r="H56" s="166">
        <f>'Budget détaillé'!H56</f>
        <v>222</v>
      </c>
      <c r="I56" s="166">
        <f>'Budget détaillé'!I56</f>
        <v>6882</v>
      </c>
      <c r="J56" s="167">
        <f>'Budget détaillé'!J56</f>
        <v>6216</v>
      </c>
      <c r="K56" s="168">
        <f>'Budget détaillé'!K56</f>
        <v>666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7.149999999999999" customHeight="1" outlineLevel="1" x14ac:dyDescent="0.25">
      <c r="B57" s="97" t="s">
        <v>216</v>
      </c>
      <c r="C57" s="248" t="s">
        <v>217</v>
      </c>
      <c r="D57" s="249"/>
      <c r="E57" s="249"/>
      <c r="F57" s="249"/>
      <c r="G57" s="249"/>
      <c r="H57" s="166">
        <f>'Budget détaillé'!H57</f>
        <v>550</v>
      </c>
      <c r="I57" s="166">
        <f>'Budget détaillé'!I57</f>
        <v>17050</v>
      </c>
      <c r="J57" s="167">
        <f>'Budget détaillé'!J57</f>
        <v>15400</v>
      </c>
      <c r="K57" s="168">
        <f>'Budget détaillé'!K57</f>
        <v>1650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7.149999999999999" customHeight="1" outlineLevel="1" thickBot="1" x14ac:dyDescent="0.3">
      <c r="B58" s="97" t="s">
        <v>218</v>
      </c>
      <c r="C58" s="248" t="s">
        <v>219</v>
      </c>
      <c r="D58" s="249"/>
      <c r="E58" s="249"/>
      <c r="F58" s="249"/>
      <c r="G58" s="249"/>
      <c r="H58" s="166">
        <f>'Budget détaillé'!H58</f>
        <v>192</v>
      </c>
      <c r="I58" s="166">
        <f>'Budget détaillé'!I58</f>
        <v>5952</v>
      </c>
      <c r="J58" s="167">
        <f>'Budget détaillé'!J58</f>
        <v>5376</v>
      </c>
      <c r="K58" s="168">
        <f>'Budget détaillé'!K58</f>
        <v>576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5" customHeight="1" thickBot="1" x14ac:dyDescent="0.3">
      <c r="B59" s="143" t="s">
        <v>220</v>
      </c>
      <c r="C59" s="144"/>
      <c r="D59" s="145"/>
      <c r="E59" s="145"/>
      <c r="F59" s="145"/>
      <c r="G59" s="145"/>
      <c r="H59" s="268"/>
      <c r="I59" s="148">
        <f>I50+I55</f>
        <v>58224</v>
      </c>
      <c r="J59" s="149">
        <f>J50+J55</f>
        <v>51744</v>
      </c>
      <c r="K59" s="150">
        <f>K50+K55</f>
        <v>6480</v>
      </c>
      <c r="L59" s="148">
        <f t="shared" ref="L59:P59" si="27">L50+L55</f>
        <v>0</v>
      </c>
      <c r="M59" s="147">
        <f t="shared" si="27"/>
        <v>0</v>
      </c>
      <c r="N59" s="147">
        <f t="shared" si="27"/>
        <v>0</v>
      </c>
      <c r="O59" s="148">
        <f t="shared" si="27"/>
        <v>0</v>
      </c>
      <c r="P59" s="150">
        <f t="shared" si="27"/>
        <v>0</v>
      </c>
      <c r="Q59" s="152">
        <f>IF($K$72=0,0,K59/$K$72)</f>
        <v>0.30315789473684213</v>
      </c>
      <c r="R59" s="300" t="s">
        <v>145</v>
      </c>
      <c r="S59" s="301">
        <f>IF((K59+K46)=0,0,K59/(K59+K46))</f>
        <v>0.73863032170130305</v>
      </c>
      <c r="T59" s="153" t="s">
        <v>221</v>
      </c>
      <c r="U59" s="70"/>
    </row>
    <row r="60" spans="1:22" ht="21" customHeight="1" thickBot="1" x14ac:dyDescent="0.3">
      <c r="A60" s="73"/>
      <c r="B60" s="274"/>
      <c r="C60" s="302"/>
      <c r="D60" s="302"/>
      <c r="E60" s="276"/>
      <c r="F60" s="276"/>
      <c r="G60" s="276"/>
      <c r="H60" s="74" t="s">
        <v>222</v>
      </c>
      <c r="I60" s="267">
        <f>IF(E7=0,0,I59/E7)</f>
        <v>1878.1935483870968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4" customHeight="1" thickBot="1" x14ac:dyDescent="0.3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5" customHeight="1" thickBot="1" x14ac:dyDescent="0.3">
      <c r="B62" s="309" t="s">
        <v>223</v>
      </c>
      <c r="C62" s="309"/>
      <c r="D62" s="310"/>
      <c r="E62" s="311"/>
      <c r="F62" s="310"/>
      <c r="G62" s="312"/>
      <c r="H62" s="313"/>
      <c r="I62" s="314">
        <f>I59+I46</f>
        <v>75334.880000000005</v>
      </c>
      <c r="J62" s="314">
        <f>J59+J46</f>
        <v>66561.885161290324</v>
      </c>
      <c r="K62" s="315">
        <f>K59+K46</f>
        <v>8772.9948387096774</v>
      </c>
      <c r="L62" s="314">
        <f t="shared" ref="L62:O62" si="28">L59+L46</f>
        <v>0</v>
      </c>
      <c r="M62" s="314">
        <f t="shared" si="28"/>
        <v>0</v>
      </c>
      <c r="N62" s="314">
        <f t="shared" si="28"/>
        <v>0</v>
      </c>
      <c r="O62" s="314">
        <f t="shared" si="28"/>
        <v>0</v>
      </c>
      <c r="P62" s="315">
        <f>P59+P46</f>
        <v>0</v>
      </c>
      <c r="Q62" s="152">
        <f>IF($K$72=0,0,K62/$K$72)</f>
        <v>0.41043250707413698</v>
      </c>
      <c r="R62" s="153" t="s">
        <v>145</v>
      </c>
      <c r="U62" s="121"/>
      <c r="V62" s="121"/>
    </row>
    <row r="63" spans="1:22" s="121" customFormat="1" ht="18.75" customHeight="1" x14ac:dyDescent="0.25">
      <c r="B63" s="208"/>
      <c r="C63" s="289"/>
      <c r="D63" s="316"/>
      <c r="E63" s="316"/>
      <c r="F63" s="316"/>
      <c r="G63" s="317"/>
      <c r="H63" s="317" t="s">
        <v>224</v>
      </c>
      <c r="I63" s="318">
        <f>IF(E7=0,0,I62/$E$7)</f>
        <v>2430.157419354839</v>
      </c>
      <c r="J63" s="319">
        <f>IF(($E$7-$E$8)=0,0,J62/($E$7-$E$8))</f>
        <v>2377.2101843317973</v>
      </c>
      <c r="K63" s="320">
        <f>IF(E8=0,0,K62/$E$8)</f>
        <v>2924.331612903226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49999999999999" customHeight="1" thickBot="1" x14ac:dyDescent="0.3">
      <c r="B64" s="220"/>
      <c r="C64" s="323"/>
      <c r="D64" s="324"/>
      <c r="E64" s="324"/>
      <c r="F64" s="324"/>
      <c r="G64" s="325"/>
      <c r="H64" s="325" t="s">
        <v>225</v>
      </c>
      <c r="I64" s="258">
        <f t="shared" ref="I64:P64" si="29">IF(I33=0,0,I62/I33)</f>
        <v>195.67501298701299</v>
      </c>
      <c r="J64" s="258">
        <f t="shared" si="29"/>
        <v>216.11001675743611</v>
      </c>
      <c r="K64" s="258">
        <f t="shared" si="29"/>
        <v>113.93499790532044</v>
      </c>
      <c r="L64" s="258">
        <f t="shared" si="29"/>
        <v>0</v>
      </c>
      <c r="M64" s="258">
        <f t="shared" si="29"/>
        <v>0</v>
      </c>
      <c r="N64" s="258">
        <f t="shared" si="29"/>
        <v>0</v>
      </c>
      <c r="O64" s="258">
        <f t="shared" si="29"/>
        <v>0</v>
      </c>
      <c r="P64" s="366">
        <f t="shared" si="29"/>
        <v>0</v>
      </c>
      <c r="Q64" s="367"/>
      <c r="R64" s="247"/>
      <c r="S64" s="73"/>
      <c r="U64" s="73"/>
      <c r="V64" s="73"/>
    </row>
    <row r="65" spans="2:24" ht="13.5" thickBot="1" x14ac:dyDescent="0.3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5" customHeight="1" thickBot="1" x14ac:dyDescent="0.3">
      <c r="B66" s="474" t="s">
        <v>226</v>
      </c>
      <c r="C66" s="475"/>
      <c r="D66" s="475"/>
      <c r="E66" s="475"/>
      <c r="F66" s="475"/>
      <c r="G66" s="475"/>
      <c r="H66" s="475"/>
      <c r="I66" s="475"/>
      <c r="J66" s="475"/>
      <c r="K66" s="476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3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2.5" thickBot="1" x14ac:dyDescent="0.3">
      <c r="B68" s="281" t="s">
        <v>227</v>
      </c>
      <c r="C68" s="282" t="s">
        <v>228</v>
      </c>
      <c r="D68" s="283"/>
      <c r="E68" s="283"/>
      <c r="F68" s="283"/>
      <c r="G68" s="283"/>
      <c r="H68" s="332"/>
      <c r="I68" s="333" t="s">
        <v>137</v>
      </c>
      <c r="J68" s="135" t="s">
        <v>138</v>
      </c>
      <c r="K68" s="136" t="s">
        <v>203</v>
      </c>
      <c r="L68" s="284" t="s">
        <v>140</v>
      </c>
      <c r="M68" s="134" t="s">
        <v>141</v>
      </c>
      <c r="N68" s="134" t="s">
        <v>142</v>
      </c>
      <c r="O68" s="334" t="s">
        <v>143</v>
      </c>
      <c r="P68" s="335" t="s">
        <v>0</v>
      </c>
      <c r="Q68" s="285"/>
      <c r="R68" s="142"/>
      <c r="U68" s="73"/>
      <c r="V68" s="73"/>
    </row>
    <row r="69" spans="2:24" ht="24" customHeight="1" x14ac:dyDescent="0.25">
      <c r="B69" s="236" t="s">
        <v>229</v>
      </c>
      <c r="C69" s="288" t="s">
        <v>230</v>
      </c>
      <c r="D69" s="336"/>
      <c r="E69" s="336"/>
      <c r="F69" s="336"/>
      <c r="G69" s="336"/>
      <c r="H69" s="337"/>
      <c r="I69" s="338">
        <f>J69+K69</f>
        <v>28179</v>
      </c>
      <c r="J69" s="338">
        <f>'Recettes et simulat'!G16</f>
        <v>6804</v>
      </c>
      <c r="K69" s="339">
        <f>'Recettes et simulat'!J28</f>
        <v>21375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3">
      <c r="B70" s="253" t="s">
        <v>231</v>
      </c>
      <c r="C70" s="254" t="s">
        <v>232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5" customHeight="1" thickBot="1" x14ac:dyDescent="0.3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5" customHeight="1" thickBot="1" x14ac:dyDescent="0.3">
      <c r="B72" s="309" t="s">
        <v>233</v>
      </c>
      <c r="C72" s="309"/>
      <c r="D72" s="310"/>
      <c r="E72" s="311"/>
      <c r="F72" s="310"/>
      <c r="G72" s="312"/>
      <c r="H72" s="313"/>
      <c r="I72" s="314">
        <f>I69+I70</f>
        <v>28179</v>
      </c>
      <c r="J72" s="314">
        <f>J69+J70</f>
        <v>6804</v>
      </c>
      <c r="K72" s="315">
        <f>K69+K70</f>
        <v>21375</v>
      </c>
      <c r="L72" s="314">
        <f t="shared" ref="L72:O72" si="30">L69+L70</f>
        <v>0</v>
      </c>
      <c r="M72" s="314">
        <f t="shared" si="30"/>
        <v>0</v>
      </c>
      <c r="N72" s="314">
        <f t="shared" si="30"/>
        <v>0</v>
      </c>
      <c r="O72" s="314">
        <f t="shared" si="30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 x14ac:dyDescent="0.3">
      <c r="B73" s="274"/>
      <c r="C73" s="302"/>
      <c r="D73" s="355"/>
      <c r="E73" s="355"/>
      <c r="F73" s="355"/>
      <c r="G73" s="356"/>
      <c r="H73" s="356" t="s">
        <v>234</v>
      </c>
      <c r="I73" s="357"/>
      <c r="J73" s="357"/>
      <c r="K73" s="358">
        <f>IF(E8=0,0,K72/$E$8)</f>
        <v>7125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3.5" thickBot="1" x14ac:dyDescent="0.3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5" customHeight="1" thickBot="1" x14ac:dyDescent="0.3">
      <c r="B75" s="309" t="s">
        <v>235</v>
      </c>
      <c r="C75" s="309"/>
      <c r="D75" s="310"/>
      <c r="E75" s="311"/>
      <c r="F75" s="310"/>
      <c r="G75" s="312"/>
      <c r="H75" s="313"/>
      <c r="I75" s="314">
        <f t="shared" ref="I75:P75" si="31">I72-I62</f>
        <v>-47155.880000000005</v>
      </c>
      <c r="J75" s="314">
        <f t="shared" si="31"/>
        <v>-59757.885161290324</v>
      </c>
      <c r="K75" s="315">
        <f t="shared" si="31"/>
        <v>12602.005161290323</v>
      </c>
      <c r="L75" s="314">
        <f t="shared" si="31"/>
        <v>0</v>
      </c>
      <c r="M75" s="314">
        <f t="shared" si="31"/>
        <v>0</v>
      </c>
      <c r="N75" s="314">
        <f t="shared" si="31"/>
        <v>0</v>
      </c>
      <c r="O75" s="314">
        <f t="shared" si="31"/>
        <v>0</v>
      </c>
      <c r="P75" s="315">
        <f t="shared" si="31"/>
        <v>0</v>
      </c>
      <c r="Q75" s="152">
        <f>IF($K$72=0,0,K75/$K$72)</f>
        <v>0.58956749292586308</v>
      </c>
      <c r="R75" s="153" t="s">
        <v>145</v>
      </c>
      <c r="U75" s="121"/>
      <c r="V75" s="121"/>
      <c r="X75" s="69"/>
    </row>
    <row r="76" spans="2:24" ht="13" x14ac:dyDescent="0.25">
      <c r="B76" s="73"/>
      <c r="C76" s="73"/>
      <c r="D76" s="73"/>
      <c r="E76" s="73"/>
      <c r="F76" s="73"/>
      <c r="G76" s="73"/>
      <c r="H76" s="110"/>
      <c r="I76" s="111"/>
      <c r="J76" s="112"/>
      <c r="K76" s="110"/>
      <c r="L76" s="110"/>
      <c r="M76" s="110"/>
      <c r="N76" s="110"/>
      <c r="O76" s="110"/>
      <c r="P76" s="110"/>
      <c r="Q76" s="69"/>
      <c r="R76" s="69"/>
      <c r="S76" s="73"/>
      <c r="T76" s="73"/>
      <c r="U76" s="73"/>
      <c r="V76" s="73"/>
      <c r="W76" s="73"/>
      <c r="X76" s="73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71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CBD6BA-9ED7-4718-9987-3A057BA830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aeb6e5-197f-474c-84d2-6b90aa585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98E34E-358E-443D-9A1B-BBAABD47E4E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D73C351-4063-4F52-AEE7-F4B861993F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Enseignements</vt:lpstr>
      <vt:lpstr>Recettes et simulat</vt:lpstr>
      <vt:lpstr>Budget détaillé</vt:lpstr>
      <vt:lpstr>Paramétrage</vt:lpstr>
      <vt:lpstr>Budget détaillé heures comp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Matilde mail</cp:lastModifiedBy>
  <cp:revision/>
  <dcterms:created xsi:type="dcterms:W3CDTF">2001-05-25T13:39:11Z</dcterms:created>
  <dcterms:modified xsi:type="dcterms:W3CDTF">2022-04-19T10:25:49Z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